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PAS-FILE01\Users$\polzerova\Documents\OLÚ Paseka\Výroční zprávy\2021\"/>
    </mc:Choice>
  </mc:AlternateContent>
  <xr:revisionPtr revIDLastSave="0" documentId="8_{372799CC-7F22-452A-AE9F-E2DF5F6EEA3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2019" sheetId="23" r:id="rId1"/>
    <sheet name="2020" sheetId="24" r:id="rId2"/>
    <sheet name="2021" sheetId="22" r:id="rId3"/>
  </sheets>
  <definedNames>
    <definedName name="_xlnm.Print_Area" localSheetId="2">'2021'!$A$1:$R$90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7" i="22" l="1"/>
  <c r="Q78" i="22"/>
  <c r="Q30" i="22"/>
  <c r="Q25" i="22"/>
  <c r="Q24" i="22"/>
  <c r="Q23" i="22"/>
  <c r="Q38" i="22" l="1"/>
  <c r="P78" i="22" l="1"/>
  <c r="P67" i="22"/>
  <c r="P14" i="22"/>
  <c r="P13" i="22"/>
  <c r="O67" i="22" l="1"/>
  <c r="O78" i="22"/>
  <c r="O14" i="22"/>
  <c r="O13" i="22"/>
  <c r="N67" i="22" l="1"/>
  <c r="N78" i="22"/>
  <c r="N25" i="22"/>
  <c r="N23" i="22"/>
  <c r="N24" i="22"/>
  <c r="N21" i="22"/>
  <c r="N14" i="22"/>
  <c r="N13" i="22"/>
  <c r="M78" i="22" l="1"/>
  <c r="M14" i="22"/>
  <c r="M13" i="22"/>
  <c r="L78" i="22" l="1"/>
  <c r="L14" i="22"/>
  <c r="L13" i="22"/>
  <c r="K78" i="22" l="1"/>
  <c r="K25" i="22"/>
  <c r="K24" i="22"/>
  <c r="K23" i="22"/>
  <c r="K21" i="22"/>
  <c r="K14" i="22"/>
  <c r="K13" i="22"/>
  <c r="J68" i="22" l="1"/>
  <c r="J64" i="22" s="1"/>
  <c r="I68" i="22" l="1"/>
  <c r="I64" i="22" s="1"/>
  <c r="I78" i="22"/>
  <c r="I14" i="22"/>
  <c r="I13" i="22"/>
  <c r="H78" i="22" l="1"/>
  <c r="H25" i="22"/>
  <c r="H24" i="22"/>
  <c r="H23" i="22"/>
  <c r="H21" i="22"/>
  <c r="H14" i="22"/>
  <c r="H13" i="22"/>
  <c r="R82" i="24" l="1"/>
  <c r="R81" i="24"/>
  <c r="Q78" i="24"/>
  <c r="Q64" i="24" s="1"/>
  <c r="P78" i="24"/>
  <c r="O78" i="24"/>
  <c r="N78" i="24"/>
  <c r="M78" i="24"/>
  <c r="L78" i="24"/>
  <c r="K78" i="24"/>
  <c r="J78" i="24"/>
  <c r="J64" i="24" s="1"/>
  <c r="I78" i="24"/>
  <c r="H78" i="24"/>
  <c r="G78" i="24"/>
  <c r="F78" i="24"/>
  <c r="R77" i="24"/>
  <c r="R76" i="24"/>
  <c r="R75" i="24"/>
  <c r="R74" i="24"/>
  <c r="R73" i="24"/>
  <c r="R72" i="24"/>
  <c r="R71" i="24"/>
  <c r="R70" i="24"/>
  <c r="R69" i="24"/>
  <c r="Q68" i="24"/>
  <c r="P68" i="24"/>
  <c r="P64" i="24" s="1"/>
  <c r="O68" i="24"/>
  <c r="O64" i="24" s="1"/>
  <c r="N68" i="24"/>
  <c r="M68" i="24"/>
  <c r="L68" i="24"/>
  <c r="K68" i="24"/>
  <c r="J68" i="24"/>
  <c r="I68" i="24"/>
  <c r="I64" i="24" s="1"/>
  <c r="H68" i="24"/>
  <c r="H64" i="24" s="1"/>
  <c r="G68" i="24"/>
  <c r="G64" i="24" s="1"/>
  <c r="F68" i="24"/>
  <c r="R68" i="24" s="1"/>
  <c r="R67" i="24"/>
  <c r="R66" i="24"/>
  <c r="R65" i="24"/>
  <c r="M64" i="24"/>
  <c r="L64" i="24"/>
  <c r="K64" i="24"/>
  <c r="R63" i="24"/>
  <c r="R62" i="24"/>
  <c r="R61" i="24"/>
  <c r="Q60" i="24"/>
  <c r="P60" i="24"/>
  <c r="O60" i="24"/>
  <c r="N60" i="24"/>
  <c r="M60" i="24"/>
  <c r="L60" i="24"/>
  <c r="K60" i="24"/>
  <c r="K45" i="24" s="1"/>
  <c r="J60" i="24"/>
  <c r="I60" i="24"/>
  <c r="H60" i="24"/>
  <c r="G60" i="24"/>
  <c r="F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Q46" i="24"/>
  <c r="P46" i="24"/>
  <c r="O46" i="24"/>
  <c r="O45" i="24" s="1"/>
  <c r="N46" i="24"/>
  <c r="M46" i="24"/>
  <c r="L46" i="24"/>
  <c r="K46" i="24"/>
  <c r="J46" i="24"/>
  <c r="J45" i="24" s="1"/>
  <c r="I46" i="24"/>
  <c r="H46" i="24"/>
  <c r="G46" i="24"/>
  <c r="F46" i="24"/>
  <c r="M45" i="24"/>
  <c r="R44" i="24"/>
  <c r="R43" i="24"/>
  <c r="Q42" i="24"/>
  <c r="P42" i="24"/>
  <c r="O42" i="24"/>
  <c r="N42" i="24"/>
  <c r="M42" i="24"/>
  <c r="L42" i="24"/>
  <c r="J42" i="24"/>
  <c r="I42" i="24"/>
  <c r="H42" i="24"/>
  <c r="G42" i="24"/>
  <c r="F42" i="24"/>
  <c r="R41" i="24"/>
  <c r="R40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Q38" i="24"/>
  <c r="R38" i="24" s="1"/>
  <c r="R37" i="24"/>
  <c r="R36" i="24"/>
  <c r="R35" i="24"/>
  <c r="R34" i="24"/>
  <c r="R33" i="24"/>
  <c r="R32" i="24"/>
  <c r="R31" i="24"/>
  <c r="R30" i="24"/>
  <c r="Q30" i="24"/>
  <c r="R29" i="24"/>
  <c r="R28" i="24"/>
  <c r="R27" i="24"/>
  <c r="M26" i="24"/>
  <c r="R26" i="24" s="1"/>
  <c r="Q25" i="24"/>
  <c r="N25" i="24"/>
  <c r="K25" i="24"/>
  <c r="H25" i="24"/>
  <c r="Q24" i="24"/>
  <c r="N24" i="24"/>
  <c r="K24" i="24"/>
  <c r="H24" i="24"/>
  <c r="R24" i="24" s="1"/>
  <c r="Q23" i="24"/>
  <c r="N23" i="24"/>
  <c r="N22" i="24" s="1"/>
  <c r="K23" i="24"/>
  <c r="H23" i="24"/>
  <c r="P22" i="24"/>
  <c r="O22" i="24"/>
  <c r="M22" i="24"/>
  <c r="L22" i="24"/>
  <c r="J22" i="24"/>
  <c r="I22" i="24"/>
  <c r="G22" i="24"/>
  <c r="F22" i="24"/>
  <c r="Q21" i="24"/>
  <c r="N21" i="24"/>
  <c r="K21" i="24"/>
  <c r="H21" i="24"/>
  <c r="R20" i="24"/>
  <c r="R19" i="24"/>
  <c r="R18" i="24"/>
  <c r="R17" i="24"/>
  <c r="R16" i="24"/>
  <c r="R15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Q13" i="24"/>
  <c r="P13" i="24"/>
  <c r="O13" i="24"/>
  <c r="N13" i="24"/>
  <c r="N10" i="24" s="1"/>
  <c r="N9" i="24" s="1"/>
  <c r="L13" i="24"/>
  <c r="L10" i="24" s="1"/>
  <c r="L9" i="24" s="1"/>
  <c r="K13" i="24"/>
  <c r="J13" i="24"/>
  <c r="I13" i="24"/>
  <c r="H13" i="24"/>
  <c r="G13" i="24"/>
  <c r="G10" i="24" s="1"/>
  <c r="G9" i="24" s="1"/>
  <c r="F13" i="24"/>
  <c r="R12" i="24"/>
  <c r="R11" i="24"/>
  <c r="O10" i="24"/>
  <c r="O9" i="24" s="1"/>
  <c r="I45" i="24" l="1"/>
  <c r="H45" i="24"/>
  <c r="R22" i="24"/>
  <c r="R13" i="24"/>
  <c r="M10" i="24"/>
  <c r="M9" i="24" s="1"/>
  <c r="M79" i="24" s="1"/>
  <c r="R23" i="24"/>
  <c r="R25" i="24"/>
  <c r="L45" i="24"/>
  <c r="L80" i="24" s="1"/>
  <c r="I10" i="24"/>
  <c r="I9" i="24" s="1"/>
  <c r="I79" i="24" s="1"/>
  <c r="R14" i="24"/>
  <c r="H22" i="24"/>
  <c r="K22" i="24"/>
  <c r="K10" i="24" s="1"/>
  <c r="K9" i="24" s="1"/>
  <c r="N45" i="24"/>
  <c r="F64" i="24"/>
  <c r="R64" i="24" s="1"/>
  <c r="N64" i="24"/>
  <c r="J10" i="24"/>
  <c r="J9" i="24" s="1"/>
  <c r="J80" i="24" s="1"/>
  <c r="R39" i="24"/>
  <c r="G45" i="24"/>
  <c r="R60" i="24"/>
  <c r="P45" i="24"/>
  <c r="P10" i="24"/>
  <c r="P9" i="24" s="1"/>
  <c r="R21" i="24"/>
  <c r="Q22" i="24"/>
  <c r="R42" i="24"/>
  <c r="Q45" i="24"/>
  <c r="Q79" i="24" s="1"/>
  <c r="F10" i="24"/>
  <c r="Q10" i="24"/>
  <c r="Q9" i="24" s="1"/>
  <c r="O80" i="24"/>
  <c r="L79" i="24"/>
  <c r="P79" i="24"/>
  <c r="P80" i="24"/>
  <c r="N80" i="24"/>
  <c r="N79" i="24"/>
  <c r="F9" i="24"/>
  <c r="K80" i="24"/>
  <c r="G80" i="24"/>
  <c r="G79" i="24"/>
  <c r="R46" i="24"/>
  <c r="R78" i="24"/>
  <c r="H10" i="24"/>
  <c r="H9" i="24" s="1"/>
  <c r="H79" i="24" s="1"/>
  <c r="K79" i="24"/>
  <c r="O79" i="24"/>
  <c r="H80" i="24" l="1"/>
  <c r="J79" i="24"/>
  <c r="R10" i="24"/>
  <c r="I80" i="24"/>
  <c r="F45" i="24"/>
  <c r="Q80" i="24"/>
  <c r="M80" i="24"/>
  <c r="R9" i="24"/>
  <c r="F80" i="24"/>
  <c r="R80" i="24" s="1"/>
  <c r="R45" i="24" l="1"/>
  <c r="F79" i="24"/>
  <c r="R79" i="24" s="1"/>
  <c r="G78" i="22"/>
  <c r="G14" i="22"/>
  <c r="G13" i="22"/>
  <c r="F78" i="22" l="1"/>
  <c r="F14" i="22"/>
  <c r="F13" i="22"/>
  <c r="O60" i="22" l="1"/>
  <c r="P60" i="22"/>
  <c r="Q60" i="22"/>
  <c r="N60" i="22"/>
  <c r="R62" i="22"/>
  <c r="K68" i="22" l="1"/>
  <c r="K64" i="22" s="1"/>
  <c r="G68" i="22" l="1"/>
  <c r="G64" i="22" s="1"/>
  <c r="R81" i="23" l="1"/>
  <c r="R80" i="23"/>
  <c r="Q77" i="23"/>
  <c r="O77" i="23"/>
  <c r="N77" i="23"/>
  <c r="M77" i="23"/>
  <c r="L77" i="23"/>
  <c r="K77" i="23"/>
  <c r="K63" i="23" s="1"/>
  <c r="J77" i="23"/>
  <c r="J63" i="23" s="1"/>
  <c r="J45" i="23" s="1"/>
  <c r="I77" i="23"/>
  <c r="H77" i="23"/>
  <c r="G77" i="23"/>
  <c r="F77" i="23"/>
  <c r="R76" i="23"/>
  <c r="R75" i="23"/>
  <c r="R74" i="23"/>
  <c r="R73" i="23"/>
  <c r="R72" i="23"/>
  <c r="R71" i="23"/>
  <c r="R70" i="23"/>
  <c r="R69" i="23"/>
  <c r="R68" i="23"/>
  <c r="Q67" i="23"/>
  <c r="P67" i="23"/>
  <c r="P63" i="23" s="1"/>
  <c r="O67" i="23"/>
  <c r="N67" i="23"/>
  <c r="M67" i="23"/>
  <c r="L67" i="23"/>
  <c r="K67" i="23"/>
  <c r="J67" i="23"/>
  <c r="I67" i="23"/>
  <c r="H67" i="23"/>
  <c r="H63" i="23" s="1"/>
  <c r="G67" i="23"/>
  <c r="F67" i="23"/>
  <c r="R66" i="23"/>
  <c r="R65" i="23"/>
  <c r="R64" i="23"/>
  <c r="Q63" i="23"/>
  <c r="M63" i="23"/>
  <c r="L63" i="23"/>
  <c r="I63" i="23"/>
  <c r="R62" i="23"/>
  <c r="R61" i="23"/>
  <c r="Q60" i="23"/>
  <c r="P60" i="23"/>
  <c r="O60" i="23"/>
  <c r="N60" i="23"/>
  <c r="M60" i="23"/>
  <c r="L60" i="23"/>
  <c r="K60" i="23"/>
  <c r="J60" i="23"/>
  <c r="I60" i="23"/>
  <c r="H60" i="23"/>
  <c r="G60" i="23"/>
  <c r="F60" i="23"/>
  <c r="R60" i="23" s="1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R44" i="23"/>
  <c r="R43" i="23"/>
  <c r="Q42" i="23"/>
  <c r="P42" i="23"/>
  <c r="O42" i="23"/>
  <c r="N42" i="23"/>
  <c r="M42" i="23"/>
  <c r="L42" i="23"/>
  <c r="J42" i="23"/>
  <c r="I42" i="23"/>
  <c r="H42" i="23"/>
  <c r="G42" i="23"/>
  <c r="F42" i="23"/>
  <c r="R41" i="23"/>
  <c r="R40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Q38" i="23"/>
  <c r="R38" i="23" s="1"/>
  <c r="R37" i="23"/>
  <c r="R36" i="23"/>
  <c r="R35" i="23"/>
  <c r="R34" i="23"/>
  <c r="R33" i="23"/>
  <c r="R32" i="23"/>
  <c r="R31" i="23"/>
  <c r="R30" i="23"/>
  <c r="R29" i="23"/>
  <c r="G28" i="23"/>
  <c r="R28" i="23" s="1"/>
  <c r="R27" i="23"/>
  <c r="R26" i="23"/>
  <c r="Q25" i="23"/>
  <c r="N25" i="23"/>
  <c r="K25" i="23"/>
  <c r="H25" i="23"/>
  <c r="R25" i="23" s="1"/>
  <c r="Q24" i="23"/>
  <c r="N24" i="23"/>
  <c r="K24" i="23"/>
  <c r="H24" i="23"/>
  <c r="Q23" i="23"/>
  <c r="Q22" i="23" s="1"/>
  <c r="N23" i="23"/>
  <c r="K23" i="23"/>
  <c r="H23" i="23"/>
  <c r="H22" i="23" s="1"/>
  <c r="H10" i="23" s="1"/>
  <c r="H9" i="23" s="1"/>
  <c r="P22" i="23"/>
  <c r="O22" i="23"/>
  <c r="N22" i="23"/>
  <c r="M22" i="23"/>
  <c r="L22" i="23"/>
  <c r="J22" i="23"/>
  <c r="I22" i="23"/>
  <c r="G22" i="23"/>
  <c r="F22" i="23"/>
  <c r="Q21" i="23"/>
  <c r="N21" i="23"/>
  <c r="K21" i="23"/>
  <c r="H21" i="23"/>
  <c r="R20" i="23"/>
  <c r="R19" i="23"/>
  <c r="R18" i="23"/>
  <c r="R17" i="23"/>
  <c r="R16" i="23"/>
  <c r="R15" i="23"/>
  <c r="Q14" i="23"/>
  <c r="P14" i="23"/>
  <c r="O14" i="23"/>
  <c r="N14" i="23"/>
  <c r="M14" i="23"/>
  <c r="L14" i="23"/>
  <c r="K14" i="23"/>
  <c r="J14" i="23"/>
  <c r="J10" i="23" s="1"/>
  <c r="J9" i="23" s="1"/>
  <c r="I14" i="23"/>
  <c r="H14" i="23"/>
  <c r="G14" i="23"/>
  <c r="F14" i="23"/>
  <c r="Q13" i="23"/>
  <c r="P13" i="23"/>
  <c r="O13" i="23"/>
  <c r="O10" i="23" s="1"/>
  <c r="O9" i="23" s="1"/>
  <c r="N13" i="23"/>
  <c r="M13" i="23"/>
  <c r="L13" i="23"/>
  <c r="K13" i="23"/>
  <c r="J13" i="23"/>
  <c r="I13" i="23"/>
  <c r="I10" i="23" s="1"/>
  <c r="I9" i="23" s="1"/>
  <c r="H13" i="23"/>
  <c r="G13" i="23"/>
  <c r="F13" i="23"/>
  <c r="R13" i="23" s="1"/>
  <c r="R12" i="23"/>
  <c r="M11" i="23"/>
  <c r="P10" i="23"/>
  <c r="L10" i="23"/>
  <c r="L9" i="23" s="1"/>
  <c r="G10" i="23"/>
  <c r="G9" i="23" s="1"/>
  <c r="P9" i="23"/>
  <c r="I45" i="23" l="1"/>
  <c r="Q45" i="23"/>
  <c r="H45" i="23"/>
  <c r="H79" i="23" s="1"/>
  <c r="P45" i="23"/>
  <c r="F10" i="23"/>
  <c r="N10" i="23"/>
  <c r="N9" i="23" s="1"/>
  <c r="K22" i="23"/>
  <c r="K10" i="23" s="1"/>
  <c r="K9" i="23" s="1"/>
  <c r="R39" i="23"/>
  <c r="R42" i="23"/>
  <c r="R77" i="23"/>
  <c r="N63" i="23"/>
  <c r="N45" i="23" s="1"/>
  <c r="N79" i="23" s="1"/>
  <c r="K45" i="23"/>
  <c r="K79" i="23" s="1"/>
  <c r="G63" i="23"/>
  <c r="G45" i="23" s="1"/>
  <c r="O63" i="23"/>
  <c r="O45" i="23" s="1"/>
  <c r="M10" i="23"/>
  <c r="M9" i="23" s="1"/>
  <c r="R21" i="23"/>
  <c r="M45" i="23"/>
  <c r="L45" i="23"/>
  <c r="R24" i="23"/>
  <c r="R46" i="23"/>
  <c r="R67" i="23"/>
  <c r="K78" i="23"/>
  <c r="I78" i="23"/>
  <c r="I79" i="23"/>
  <c r="M78" i="23"/>
  <c r="M79" i="23"/>
  <c r="L79" i="23"/>
  <c r="L78" i="23"/>
  <c r="P79" i="23"/>
  <c r="P78" i="23"/>
  <c r="F9" i="23"/>
  <c r="J79" i="23"/>
  <c r="J78" i="23"/>
  <c r="R14" i="23"/>
  <c r="R11" i="23"/>
  <c r="R23" i="23"/>
  <c r="Q10" i="23"/>
  <c r="Q9" i="23" s="1"/>
  <c r="Q78" i="23" s="1"/>
  <c r="F63" i="23"/>
  <c r="O78" i="23" l="1"/>
  <c r="O79" i="23"/>
  <c r="G78" i="23"/>
  <c r="G79" i="23"/>
  <c r="H78" i="23"/>
  <c r="N78" i="23"/>
  <c r="R22" i="23"/>
  <c r="R63" i="23"/>
  <c r="F45" i="23"/>
  <c r="R9" i="23"/>
  <c r="Q79" i="23"/>
  <c r="R10" i="23"/>
  <c r="F79" i="23" l="1"/>
  <c r="R79" i="23" s="1"/>
  <c r="F78" i="23"/>
  <c r="R78" i="23" s="1"/>
  <c r="R45" i="23"/>
  <c r="P68" i="22" l="1"/>
  <c r="P64" i="22" s="1"/>
  <c r="Q68" i="22"/>
  <c r="Q64" i="22" s="1"/>
  <c r="O39" i="22" l="1"/>
  <c r="M68" i="22" l="1"/>
  <c r="N68" i="22"/>
  <c r="O68" i="22"/>
  <c r="L68" i="22"/>
  <c r="R82" i="22" l="1"/>
  <c r="R81" i="22"/>
  <c r="F42" i="22" l="1"/>
  <c r="F39" i="22"/>
  <c r="N64" i="22" l="1"/>
  <c r="M64" i="22" l="1"/>
  <c r="G60" i="22" l="1"/>
  <c r="H60" i="22"/>
  <c r="I60" i="22"/>
  <c r="J60" i="22"/>
  <c r="K60" i="22"/>
  <c r="L60" i="22"/>
  <c r="M60" i="22"/>
  <c r="F60" i="22"/>
  <c r="F68" i="22"/>
  <c r="F64" i="22" s="1"/>
  <c r="R53" i="22"/>
  <c r="F46" i="22"/>
  <c r="F45" i="22" l="1"/>
  <c r="R75" i="22" l="1"/>
  <c r="N22" i="22"/>
  <c r="R67" i="22" l="1"/>
  <c r="H68" i="22" l="1"/>
  <c r="R72" i="22" l="1"/>
  <c r="O64" i="22"/>
  <c r="R71" i="22"/>
  <c r="R76" i="22"/>
  <c r="R66" i="22"/>
  <c r="H42" i="22"/>
  <c r="I42" i="22" l="1"/>
  <c r="R78" i="22" l="1"/>
  <c r="R77" i="22" l="1"/>
  <c r="R74" i="22"/>
  <c r="R73" i="22"/>
  <c r="R70" i="22"/>
  <c r="R69" i="22"/>
  <c r="R65" i="22"/>
  <c r="R63" i="22"/>
  <c r="R61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4" i="22"/>
  <c r="R43" i="22"/>
  <c r="R41" i="22"/>
  <c r="R40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1" i="22"/>
  <c r="R20" i="22"/>
  <c r="R19" i="22"/>
  <c r="R18" i="22"/>
  <c r="R17" i="22"/>
  <c r="R16" i="22"/>
  <c r="R15" i="22"/>
  <c r="R14" i="22"/>
  <c r="R13" i="22"/>
  <c r="R12" i="22"/>
  <c r="R11" i="22"/>
  <c r="L64" i="22" l="1"/>
  <c r="H64" i="22"/>
  <c r="L46" i="22"/>
  <c r="K46" i="22"/>
  <c r="J46" i="22"/>
  <c r="I46" i="22"/>
  <c r="H46" i="22"/>
  <c r="G46" i="22"/>
  <c r="L42" i="22"/>
  <c r="J42" i="22"/>
  <c r="G42" i="22"/>
  <c r="L39" i="22"/>
  <c r="K39" i="22"/>
  <c r="J39" i="22"/>
  <c r="I39" i="22"/>
  <c r="H39" i="22"/>
  <c r="G39" i="22"/>
  <c r="L22" i="22"/>
  <c r="L10" i="22" s="1"/>
  <c r="K22" i="22"/>
  <c r="K10" i="22" s="1"/>
  <c r="J22" i="22"/>
  <c r="J10" i="22" s="1"/>
  <c r="I22" i="22"/>
  <c r="I10" i="22" s="1"/>
  <c r="H22" i="22"/>
  <c r="H10" i="22" s="1"/>
  <c r="G22" i="22"/>
  <c r="G10" i="22" s="1"/>
  <c r="F22" i="22"/>
  <c r="F10" i="22" s="1"/>
  <c r="Q46" i="22"/>
  <c r="P46" i="22"/>
  <c r="O46" i="22"/>
  <c r="N46" i="22"/>
  <c r="N45" i="22" s="1"/>
  <c r="M46" i="22"/>
  <c r="Q42" i="22"/>
  <c r="P42" i="22"/>
  <c r="O42" i="22"/>
  <c r="N42" i="22"/>
  <c r="M42" i="22"/>
  <c r="Q39" i="22"/>
  <c r="P39" i="22"/>
  <c r="N39" i="22"/>
  <c r="M39" i="22"/>
  <c r="Q22" i="22"/>
  <c r="Q10" i="22" s="1"/>
  <c r="P22" i="22"/>
  <c r="P10" i="22" s="1"/>
  <c r="O22" i="22"/>
  <c r="O10" i="22" s="1"/>
  <c r="M22" i="22"/>
  <c r="M10" i="22" s="1"/>
  <c r="R64" i="22" l="1"/>
  <c r="O9" i="22"/>
  <c r="H45" i="22"/>
  <c r="G45" i="22"/>
  <c r="K9" i="22"/>
  <c r="Q9" i="22"/>
  <c r="O45" i="22"/>
  <c r="M9" i="22"/>
  <c r="L9" i="22"/>
  <c r="J9" i="22"/>
  <c r="I9" i="22"/>
  <c r="H9" i="22"/>
  <c r="G9" i="22"/>
  <c r="F9" i="22"/>
  <c r="R39" i="22"/>
  <c r="R46" i="22"/>
  <c r="K45" i="22"/>
  <c r="R22" i="22"/>
  <c r="R42" i="22"/>
  <c r="R60" i="22"/>
  <c r="I45" i="22"/>
  <c r="P45" i="22"/>
  <c r="R68" i="22"/>
  <c r="M45" i="22"/>
  <c r="Q45" i="22"/>
  <c r="J45" i="22"/>
  <c r="L45" i="22"/>
  <c r="N10" i="22"/>
  <c r="P9" i="22"/>
  <c r="O80" i="22" l="1"/>
  <c r="L80" i="22"/>
  <c r="K79" i="22"/>
  <c r="J79" i="22"/>
  <c r="G80" i="22"/>
  <c r="M80" i="22"/>
  <c r="O79" i="22"/>
  <c r="Q79" i="22"/>
  <c r="Q80" i="22"/>
  <c r="I80" i="22"/>
  <c r="M79" i="22"/>
  <c r="L79" i="22"/>
  <c r="K80" i="22"/>
  <c r="I79" i="22"/>
  <c r="H79" i="22"/>
  <c r="H80" i="22"/>
  <c r="G79" i="22"/>
  <c r="F80" i="22"/>
  <c r="R10" i="22"/>
  <c r="F79" i="22"/>
  <c r="R45" i="22"/>
  <c r="J80" i="22"/>
  <c r="N9" i="22"/>
  <c r="N79" i="22" s="1"/>
  <c r="R9" i="22" l="1"/>
  <c r="P79" i="22"/>
  <c r="P80" i="22"/>
  <c r="N80" i="22"/>
  <c r="R79" i="22" l="1"/>
  <c r="R80" i="22"/>
</calcChain>
</file>

<file path=xl/sharedStrings.xml><?xml version="1.0" encoding="utf-8"?>
<sst xmlns="http://schemas.openxmlformats.org/spreadsheetml/2006/main" count="464" uniqueCount="134">
  <si>
    <t>Celkem</t>
  </si>
  <si>
    <t>z toho :</t>
  </si>
  <si>
    <t xml:space="preserve">Spotřeba materiálu </t>
  </si>
  <si>
    <t>Prodané zboží</t>
  </si>
  <si>
    <t>Opravy a udržování</t>
  </si>
  <si>
    <t>Cestovné</t>
  </si>
  <si>
    <t>Náklady na reprezentaci</t>
  </si>
  <si>
    <t>Ostatní služby</t>
  </si>
  <si>
    <t>10.</t>
  </si>
  <si>
    <t>Mzdové náklady</t>
  </si>
  <si>
    <t>12.</t>
  </si>
  <si>
    <t>13.</t>
  </si>
  <si>
    <t>Zákonné sociální pojištění</t>
  </si>
  <si>
    <t>14.</t>
  </si>
  <si>
    <t>15.</t>
  </si>
  <si>
    <t>16.</t>
  </si>
  <si>
    <t>17.</t>
  </si>
  <si>
    <t>25.</t>
  </si>
  <si>
    <t>26.</t>
  </si>
  <si>
    <t>27.</t>
  </si>
  <si>
    <t>28.</t>
  </si>
  <si>
    <t>Daň z příjmu</t>
  </si>
  <si>
    <t>Dodatečné odvody daně z příjmů</t>
  </si>
  <si>
    <t>34.</t>
  </si>
  <si>
    <t>35.</t>
  </si>
  <si>
    <t>36.</t>
  </si>
  <si>
    <t>Manka a škody</t>
  </si>
  <si>
    <t>Číslo účtu</t>
  </si>
  <si>
    <t>531,2,8</t>
  </si>
  <si>
    <t>Odbor zdravotnictví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</si>
  <si>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</si>
  <si>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</si>
  <si>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</si>
  <si>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</si>
  <si>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</si>
  <si>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</si>
  <si>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</si>
  <si>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</si>
  <si>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</si>
  <si>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</si>
  <si>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</si>
  <si>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</si>
  <si>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Dne:</t>
  </si>
  <si>
    <t>Saldo pohledávek a závazků z obchodního styku</t>
  </si>
  <si>
    <t xml:space="preserve"> Závazky po lhůtě splatnosti nad 30 dnů</t>
  </si>
  <si>
    <t xml:space="preserve"> Průměrný plat zaměstnance v Kč </t>
  </si>
  <si>
    <t>Komentář:</t>
  </si>
  <si>
    <t>Výnosy z pronájmu</t>
  </si>
  <si>
    <t xml:space="preserve">Čerpání fondů </t>
  </si>
  <si>
    <t>Ostatní výnosy z činnosti</t>
  </si>
  <si>
    <t>Jiné sociální pojištění</t>
  </si>
  <si>
    <t>Prodaný materiál</t>
  </si>
  <si>
    <t>Ostatní náklady z činnosti</t>
  </si>
  <si>
    <t>Odpisy dlouhodobého majetku</t>
  </si>
  <si>
    <t>Zákonné sociální náklady</t>
  </si>
  <si>
    <t>Jiné sociální náklady</t>
  </si>
  <si>
    <t>Výnosy z prodeje vlastních výrobků</t>
  </si>
  <si>
    <t>Výnosy z prodeje služeb</t>
  </si>
  <si>
    <t>příspěvek na provoz</t>
  </si>
  <si>
    <t>Název účetní položky</t>
  </si>
  <si>
    <t>A. Náklady celkem - účtová tř. 5</t>
  </si>
  <si>
    <t>I. Náklady z činnosti</t>
  </si>
  <si>
    <t>1.</t>
  </si>
  <si>
    <t>2.</t>
  </si>
  <si>
    <t>Spotřeba energie</t>
  </si>
  <si>
    <t>z toho:</t>
  </si>
  <si>
    <t xml:space="preserve"> - elektřina</t>
  </si>
  <si>
    <t xml:space="preserve"> - plyn</t>
  </si>
  <si>
    <t>3.</t>
  </si>
  <si>
    <t>4.</t>
  </si>
  <si>
    <t>8.</t>
  </si>
  <si>
    <t>5.</t>
  </si>
  <si>
    <t>9.</t>
  </si>
  <si>
    <t>6.</t>
  </si>
  <si>
    <t xml:space="preserve"> - mobilní telefony</t>
  </si>
  <si>
    <t xml:space="preserve"> - platy zaměstnanců</t>
  </si>
  <si>
    <t xml:space="preserve"> - OON</t>
  </si>
  <si>
    <t xml:space="preserve"> - náhrady mezd za dočas.prac.neschopnost</t>
  </si>
  <si>
    <t>18.-20.</t>
  </si>
  <si>
    <t>Daně a poplatky</t>
  </si>
  <si>
    <t>Tvorba fondů</t>
  </si>
  <si>
    <t>Náklady z vyřazených pohledávek</t>
  </si>
  <si>
    <t>Náklady z drobného dlouhodob.majetku</t>
  </si>
  <si>
    <t>Ost.náklady,..ZC prod.DNaHM,tvorby zák.rezerv</t>
  </si>
  <si>
    <t>552-9</t>
  </si>
  <si>
    <t>II. Finanční náklady</t>
  </si>
  <si>
    <t>Úroky</t>
  </si>
  <si>
    <t>V. Daň z příjmu</t>
  </si>
  <si>
    <t>B. Výnosy celkem - účtová tř. 6</t>
  </si>
  <si>
    <t>I. Výnosy z činnosti</t>
  </si>
  <si>
    <t>Výnosy z prodaného zboží</t>
  </si>
  <si>
    <t>Jiné výnosy z vlastních výkonů</t>
  </si>
  <si>
    <t>Smluvní pokuty a úroky z prodlení</t>
  </si>
  <si>
    <t>Výnosy z prodeje materiálu</t>
  </si>
  <si>
    <t>Výnosy z prodeje dlouh.nehmot.majetku</t>
  </si>
  <si>
    <t>Výnosy z prodeje dl.hmot.maj., kromě pozemků</t>
  </si>
  <si>
    <t>Výnosy z prodeje pozemků</t>
  </si>
  <si>
    <t>II. Finanční výnosy</t>
  </si>
  <si>
    <t>Ostatní finanční výnosy</t>
  </si>
  <si>
    <t>IV. Výnosy z transferů</t>
  </si>
  <si>
    <t>Výnosy vybr.míst.vlád.institucí transferů - ÚSC (kraj,obce)</t>
  </si>
  <si>
    <t>příspěvek na provoz-odpisy</t>
  </si>
  <si>
    <t>ostatní / dotace od obcí, atd.</t>
  </si>
  <si>
    <t>C.</t>
  </si>
  <si>
    <t>VÝSLEDEK HOSPODAŘENÍ PŘED ZDANĚNÍM</t>
  </si>
  <si>
    <t>VÝSLEDEK HOSPODAŘENÍ BĚŽNÉHO ÚČ.OBD./B-A/</t>
  </si>
  <si>
    <t xml:space="preserve">Transferový podíl odpisy </t>
  </si>
  <si>
    <t>Zpracovala:</t>
  </si>
  <si>
    <t>Ing. Eva Podvolecká</t>
  </si>
  <si>
    <t>Název PO : Odborný léčebný ústav Paseka, p.o.</t>
  </si>
  <si>
    <t>542, 547</t>
  </si>
  <si>
    <t>Aktivace dlouhodobého majetku</t>
  </si>
  <si>
    <t>příspěvek na provoz - na opravy</t>
  </si>
  <si>
    <t>Výnosy ze státního fondu EU</t>
  </si>
  <si>
    <t>příspěvek na provoz - SH</t>
  </si>
  <si>
    <t>Výnosy vybr.míst.vlád.institucí transferů - SR - dotace z Úřadu práce</t>
  </si>
  <si>
    <t>příspěvek na provoz - na opravy - VHČ</t>
  </si>
  <si>
    <t>vedoucí ekonomického a personálního oddělení</t>
  </si>
  <si>
    <t>v Kč</t>
  </si>
  <si>
    <t>Vyřazené pohledávky</t>
  </si>
  <si>
    <t>7.</t>
  </si>
  <si>
    <t>11.</t>
  </si>
  <si>
    <t>Kurzové rozdíly</t>
  </si>
  <si>
    <t xml:space="preserve">Výnosy ze státního rozpočtu </t>
  </si>
  <si>
    <t>příspěvek na provoz účelově určený</t>
  </si>
  <si>
    <t>Průměrný přepočtený počet zaměstnanců</t>
  </si>
  <si>
    <t>příspěvek od zřizovatele - pojistné plnění</t>
  </si>
  <si>
    <t xml:space="preserve">příspěvek od zřizovatele </t>
  </si>
  <si>
    <t>Skutečné náklady a výnosy PO - rok 2019</t>
  </si>
  <si>
    <t xml:space="preserve">Výnosy i náklady jsou v souladu s ročním plánem rozpočtem. </t>
  </si>
  <si>
    <t>Kurzové zisky</t>
  </si>
  <si>
    <t>Skutečné náklady a výnosy PO - rok 2021</t>
  </si>
  <si>
    <t>Skutečné náklady a výnosy PO - rok 2020</t>
  </si>
  <si>
    <t>Náklady jsou v souladu s ročním plánem rozpočtem. K nárůstu výnosů oproti plánu dochází vlivem kompenzačních vyhlášek, které kompenzují výpadek v ošetřovacích dnech v roce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</si>
</sst>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K_č_-;\-* #,##0.0\ _K_č_-;_-* &quot;-&quot;?\ _K_č_-;_-@_-"/>
    <numFmt numFmtId="165" formatCode="#,##0.0_ ;\-#,##0.0\ "/>
    <numFmt numFmtId="166" formatCode="#,##0.000_ ;\-#,##0.000\ 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omic Sans MS"/>
      <family val="4"/>
      <charset val="238"/>
    </font>
    <font>
      <sz val="8"/>
      <name val="Arial"/>
      <family val="2"/>
      <charset val="238"/>
    </font>
    <font>
      <b/>
      <sz val="10"/>
      <name val="Comic Sans MS"/>
      <family val="4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4"/>
      <name val="Arial Black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Comic Sans MS"/>
      <family val="4"/>
      <charset val="238"/>
    </font>
    <font>
      <b/>
      <sz val="12"/>
      <name val="Comic Sans MS"/>
      <family val="4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19"/>
      </left>
      <right style="medium">
        <color indexed="19"/>
      </right>
      <top/>
      <bottom/>
      <diagonal/>
    </border>
    <border>
      <left style="medium">
        <color indexed="19"/>
      </left>
      <right style="medium">
        <color indexed="19"/>
      </right>
      <top style="hair">
        <color indexed="64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hair">
        <color indexed="64"/>
      </top>
      <bottom/>
      <diagonal/>
    </border>
    <border>
      <left style="medium">
        <color indexed="19"/>
      </left>
      <right style="medium">
        <color indexed="19"/>
      </right>
      <top/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thick">
        <color indexed="19"/>
      </top>
      <bottom/>
      <diagonal/>
    </border>
    <border>
      <left style="medium">
        <color indexed="19"/>
      </left>
      <right style="medium">
        <color indexed="19"/>
      </right>
      <top/>
      <bottom style="thin">
        <color indexed="64"/>
      </bottom>
      <diagonal/>
    </border>
    <border>
      <left style="thick">
        <color indexed="19"/>
      </left>
      <right style="thick">
        <color indexed="19"/>
      </right>
      <top/>
      <bottom/>
      <diagonal/>
    </border>
    <border>
      <left style="thick">
        <color indexed="19"/>
      </left>
      <right style="hair">
        <color indexed="19"/>
      </right>
      <top style="medium">
        <color indexed="19"/>
      </top>
      <bottom style="medium">
        <color indexed="19"/>
      </bottom>
      <diagonal/>
    </border>
    <border>
      <left/>
      <right/>
      <top style="medium">
        <color indexed="19"/>
      </top>
      <bottom style="medium">
        <color indexed="19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thick">
        <color indexed="19"/>
      </left>
      <right style="thick">
        <color indexed="19"/>
      </right>
      <top style="medium">
        <color indexed="19"/>
      </top>
      <bottom style="medium">
        <color indexed="19"/>
      </bottom>
      <diagonal/>
    </border>
    <border>
      <left style="thin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thin">
        <color indexed="19"/>
      </left>
      <right style="medium">
        <color indexed="19"/>
      </right>
      <top/>
      <bottom style="hair">
        <color indexed="64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 style="hair">
        <color indexed="64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hair">
        <color indexed="64"/>
      </top>
      <bottom/>
      <diagonal/>
    </border>
    <border>
      <left style="thick">
        <color indexed="19"/>
      </left>
      <right/>
      <top/>
      <bottom/>
      <diagonal/>
    </border>
    <border>
      <left style="medium">
        <color indexed="19"/>
      </left>
      <right style="medium">
        <color indexed="19"/>
      </right>
      <top style="thick">
        <color indexed="19"/>
      </top>
      <bottom/>
      <diagonal/>
    </border>
    <border>
      <left style="thick">
        <color indexed="19"/>
      </left>
      <right style="thick">
        <color indexed="19"/>
      </right>
      <top style="thin">
        <color indexed="64"/>
      </top>
      <bottom style="medium">
        <color indexed="19"/>
      </bottom>
      <diagonal/>
    </border>
    <border>
      <left style="thick">
        <color indexed="19"/>
      </left>
      <right style="thick">
        <color indexed="19"/>
      </right>
      <top/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/>
      <diagonal/>
    </border>
    <border>
      <left style="thin">
        <color indexed="19"/>
      </left>
      <right style="medium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hair">
        <color indexed="64"/>
      </bottom>
      <diagonal/>
    </border>
    <border>
      <left/>
      <right style="medium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hair">
        <color indexed="64"/>
      </top>
      <bottom style="thick">
        <color indexed="19"/>
      </bottom>
      <diagonal/>
    </border>
    <border>
      <left/>
      <right style="medium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thick">
        <color indexed="19"/>
      </top>
      <bottom style="hair">
        <color indexed="64"/>
      </bottom>
      <diagonal/>
    </border>
    <border diagonalUp="1" diagonalDown="1">
      <left style="thick">
        <color indexed="19"/>
      </left>
      <right style="thick">
        <color indexed="19"/>
      </right>
      <top style="thick">
        <color indexed="19"/>
      </top>
      <bottom style="hair">
        <color indexed="64"/>
      </bottom>
      <diagonal style="thin">
        <color indexed="19"/>
      </diagonal>
    </border>
    <border diagonalUp="1" diagonalDown="1">
      <left style="thick">
        <color indexed="19"/>
      </left>
      <right style="thick">
        <color indexed="19"/>
      </right>
      <top style="hair">
        <color indexed="64"/>
      </top>
      <bottom style="thick">
        <color indexed="19"/>
      </bottom>
      <diagonal style="thin">
        <color indexed="19"/>
      </diagonal>
    </border>
    <border>
      <left/>
      <right/>
      <top style="thick">
        <color indexed="19"/>
      </top>
      <bottom/>
      <diagonal/>
    </border>
    <border>
      <left style="thick">
        <color indexed="19"/>
      </left>
      <right style="hair">
        <color indexed="19"/>
      </right>
      <top/>
      <bottom style="hair">
        <color indexed="64"/>
      </bottom>
      <diagonal/>
    </border>
    <border>
      <left style="thick">
        <color indexed="19"/>
      </left>
      <right style="hair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hair">
        <color indexed="19"/>
      </right>
      <top style="hair">
        <color indexed="64"/>
      </top>
      <bottom style="thick">
        <color indexed="19"/>
      </bottom>
      <diagonal/>
    </border>
    <border>
      <left style="thick">
        <color indexed="19"/>
      </left>
      <right style="hair">
        <color indexed="19"/>
      </right>
      <top style="medium">
        <color indexed="19"/>
      </top>
      <bottom style="hair">
        <color indexed="64"/>
      </bottom>
      <diagonal/>
    </border>
    <border>
      <left style="medium">
        <color indexed="19"/>
      </left>
      <right style="medium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thick">
        <color indexed="19"/>
      </top>
      <bottom style="hair">
        <color indexed="64"/>
      </bottom>
      <diagonal/>
    </border>
    <border>
      <left style="thick">
        <color indexed="19"/>
      </left>
      <right style="thick">
        <color indexed="19"/>
      </right>
      <top style="hair">
        <color indexed="64"/>
      </top>
      <bottom style="thick">
        <color indexed="19"/>
      </bottom>
      <diagonal/>
    </border>
    <border>
      <left style="thin">
        <color indexed="19"/>
      </left>
      <right style="medium">
        <color indexed="19"/>
      </right>
      <top style="thick">
        <color indexed="19"/>
      </top>
      <bottom/>
      <diagonal/>
    </border>
    <border>
      <left style="thin">
        <color indexed="19"/>
      </left>
      <right style="medium">
        <color indexed="19"/>
      </right>
      <top/>
      <bottom/>
      <diagonal/>
    </border>
    <border>
      <left style="thin">
        <color indexed="19"/>
      </left>
      <right style="medium">
        <color indexed="19"/>
      </right>
      <top/>
      <bottom style="medium">
        <color indexed="19"/>
      </bottom>
      <diagonal/>
    </border>
    <border>
      <left style="hair">
        <color indexed="19"/>
      </left>
      <right/>
      <top style="hair">
        <color indexed="64"/>
      </top>
      <bottom style="thick">
        <color indexed="19"/>
      </bottom>
      <diagonal/>
    </border>
    <border>
      <left/>
      <right/>
      <top style="hair">
        <color indexed="64"/>
      </top>
      <bottom style="thick">
        <color indexed="19"/>
      </bottom>
      <diagonal/>
    </border>
    <border>
      <left/>
      <right style="thin">
        <color indexed="19"/>
      </right>
      <top style="hair">
        <color indexed="64"/>
      </top>
      <bottom style="thick">
        <color indexed="19"/>
      </bottom>
      <diagonal/>
    </border>
    <border>
      <left style="hair">
        <color indexed="19"/>
      </left>
      <right/>
      <top style="thick">
        <color indexed="19"/>
      </top>
      <bottom style="hair">
        <color indexed="64"/>
      </bottom>
      <diagonal/>
    </border>
    <border>
      <left/>
      <right/>
      <top style="thick">
        <color indexed="19"/>
      </top>
      <bottom style="hair">
        <color indexed="64"/>
      </bottom>
      <diagonal/>
    </border>
    <border>
      <left/>
      <right style="thin">
        <color indexed="19"/>
      </right>
      <top style="thick">
        <color indexed="19"/>
      </top>
      <bottom style="hair">
        <color indexed="64"/>
      </bottom>
      <diagonal/>
    </border>
    <border>
      <left/>
      <right style="thin">
        <color indexed="19"/>
      </right>
      <top style="hair">
        <color indexed="64"/>
      </top>
      <bottom style="hair">
        <color indexed="64"/>
      </bottom>
      <diagonal/>
    </border>
    <border>
      <left/>
      <right style="thin">
        <color indexed="19"/>
      </right>
      <top style="thick">
        <color indexed="19"/>
      </top>
      <bottom/>
      <diagonal/>
    </border>
    <border>
      <left/>
      <right style="thin">
        <color indexed="19"/>
      </right>
      <top/>
      <bottom/>
      <diagonal/>
    </border>
    <border>
      <left/>
      <right/>
      <top/>
      <bottom style="medium">
        <color indexed="19"/>
      </bottom>
      <diagonal/>
    </border>
    <border>
      <left/>
      <right style="thin">
        <color indexed="19"/>
      </right>
      <top/>
      <bottom style="medium">
        <color indexed="19"/>
      </bottom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thick">
        <color indexed="19"/>
      </left>
      <right/>
      <top/>
      <bottom style="medium">
        <color indexed="19"/>
      </bottom>
      <diagonal/>
    </border>
    <border>
      <left style="thick">
        <color indexed="19"/>
      </left>
      <right/>
      <top style="medium">
        <color indexed="19"/>
      </top>
      <bottom style="medium">
        <color indexed="19"/>
      </bottom>
      <diagonal/>
    </border>
    <border>
      <left style="thick">
        <color indexed="19"/>
      </left>
      <right/>
      <top/>
      <bottom style="hair">
        <color indexed="64"/>
      </bottom>
      <diagonal/>
    </border>
    <border>
      <left style="hair">
        <color rgb="FF808000"/>
      </left>
      <right style="hair">
        <color rgb="FF808000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/>
      <top style="hair">
        <color indexed="64"/>
      </top>
      <bottom style="hair">
        <color indexed="64"/>
      </bottom>
      <diagonal/>
    </border>
    <border>
      <left style="medium">
        <color indexed="19"/>
      </left>
      <right style="thick">
        <color indexed="19"/>
      </right>
      <top style="hair">
        <color indexed="64"/>
      </top>
      <bottom style="hair">
        <color indexed="64"/>
      </bottom>
      <diagonal/>
    </border>
    <border>
      <left style="thick">
        <color indexed="19"/>
      </left>
      <right/>
      <top style="hair">
        <color indexed="64"/>
      </top>
      <bottom/>
      <diagonal/>
    </border>
    <border>
      <left style="thick">
        <color indexed="19"/>
      </left>
      <right/>
      <top style="thin">
        <color indexed="19"/>
      </top>
      <bottom style="hair">
        <color indexed="64"/>
      </bottom>
      <diagonal/>
    </border>
    <border>
      <left style="hair">
        <color rgb="FF808000"/>
      </left>
      <right style="hair">
        <color rgb="FF808000"/>
      </right>
      <top/>
      <bottom/>
      <diagonal/>
    </border>
    <border>
      <left style="hair">
        <color rgb="FF808000"/>
      </left>
      <right style="hair">
        <color rgb="FF808000"/>
      </right>
      <top/>
      <bottom style="medium">
        <color indexed="19"/>
      </bottom>
      <diagonal/>
    </border>
    <border>
      <left style="hair">
        <color rgb="FF808000"/>
      </left>
      <right style="hair">
        <color rgb="FF808000"/>
      </right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1" fillId="0" borderId="0" xfId="0" applyFont="1" applyFill="1"/>
    <xf numFmtId="0" fontId="6" fillId="0" borderId="10" xfId="0" applyFont="1" applyBorder="1" applyAlignment="1">
      <alignment horizontal="center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1" xfId="0" applyFill="1" applyBorder="1"/>
    <xf numFmtId="0" fontId="0" fillId="0" borderId="21" xfId="0" applyBorder="1" applyAlignment="1">
      <alignment horizontal="center"/>
    </xf>
    <xf numFmtId="0" fontId="6" fillId="0" borderId="22" xfId="0" applyFont="1" applyBorder="1" applyAlignment="1">
      <alignment horizontal="center"/>
    </xf>
    <xf numFmtId="3" fontId="6" fillId="0" borderId="23" xfId="0" applyNumberFormat="1" applyFont="1" applyBorder="1"/>
    <xf numFmtId="3" fontId="6" fillId="0" borderId="25" xfId="0" applyNumberFormat="1" applyFont="1" applyBorder="1"/>
    <xf numFmtId="0" fontId="0" fillId="0" borderId="0" xfId="0" applyAlignment="1">
      <alignment horizontal="right"/>
    </xf>
    <xf numFmtId="164" fontId="0" fillId="0" borderId="26" xfId="0" applyNumberFormat="1" applyBorder="1" applyAlignment="1">
      <alignment horizontal="center"/>
    </xf>
    <xf numFmtId="3" fontId="0" fillId="0" borderId="27" xfId="0" applyNumberFormat="1" applyBorder="1" applyAlignment="1"/>
    <xf numFmtId="3" fontId="0" fillId="0" borderId="27" xfId="0" applyNumberFormat="1" applyFill="1" applyBorder="1" applyAlignment="1"/>
    <xf numFmtId="3" fontId="10" fillId="0" borderId="28" xfId="0" applyNumberFormat="1" applyFont="1" applyBorder="1" applyAlignment="1"/>
    <xf numFmtId="3" fontId="0" fillId="0" borderId="29" xfId="0" applyNumberFormat="1" applyBorder="1" applyAlignment="1"/>
    <xf numFmtId="3" fontId="0" fillId="0" borderId="29" xfId="0" applyNumberFormat="1" applyFill="1" applyBorder="1" applyAlignment="1"/>
    <xf numFmtId="3" fontId="10" fillId="0" borderId="30" xfId="0" applyNumberFormat="1" applyFont="1" applyBorder="1" applyAlignment="1"/>
    <xf numFmtId="164" fontId="0" fillId="0" borderId="31" xfId="0" applyNumberFormat="1" applyBorder="1" applyAlignment="1">
      <alignment horizontal="center"/>
    </xf>
    <xf numFmtId="3" fontId="6" fillId="0" borderId="32" xfId="0" applyNumberFormat="1" applyFont="1" applyBorder="1" applyAlignment="1"/>
    <xf numFmtId="3" fontId="6" fillId="0" borderId="33" xfId="0" applyNumberFormat="1" applyFont="1" applyBorder="1" applyAlignment="1"/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165" fontId="0" fillId="0" borderId="39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6" fillId="0" borderId="41" xfId="0" applyNumberFormat="1" applyFont="1" applyBorder="1" applyAlignment="1">
      <alignment horizontal="right"/>
    </xf>
    <xf numFmtId="0" fontId="12" fillId="0" borderId="11" xfId="0" applyFont="1" applyBorder="1" applyAlignment="1">
      <alignment shrinkToFit="1"/>
    </xf>
    <xf numFmtId="0" fontId="11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4" fillId="2" borderId="58" xfId="0" applyFont="1" applyFill="1" applyBorder="1"/>
    <xf numFmtId="0" fontId="4" fillId="2" borderId="12" xfId="0" applyFont="1" applyFill="1" applyBorder="1"/>
    <xf numFmtId="0" fontId="4" fillId="2" borderId="15" xfId="0" applyFont="1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6" fillId="0" borderId="35" xfId="0" applyFont="1" applyFill="1" applyBorder="1"/>
    <xf numFmtId="0" fontId="4" fillId="0" borderId="3" xfId="0" applyFont="1" applyFill="1" applyBorder="1"/>
    <xf numFmtId="0" fontId="4" fillId="0" borderId="16" xfId="0" applyFont="1" applyFill="1" applyBorder="1"/>
    <xf numFmtId="3" fontId="6" fillId="0" borderId="7" xfId="0" applyNumberFormat="1" applyFont="1" applyFill="1" applyBorder="1"/>
    <xf numFmtId="0" fontId="5" fillId="0" borderId="59" xfId="0" applyFont="1" applyBorder="1"/>
    <xf numFmtId="0" fontId="12" fillId="0" borderId="60" xfId="0" applyFont="1" applyBorder="1" applyAlignment="1">
      <alignment horizontal="center"/>
    </xf>
    <xf numFmtId="3" fontId="0" fillId="0" borderId="23" xfId="0" applyNumberFormat="1" applyBorder="1"/>
    <xf numFmtId="3" fontId="11" fillId="0" borderId="7" xfId="0" applyNumberFormat="1" applyFont="1" applyFill="1" applyBorder="1"/>
    <xf numFmtId="0" fontId="5" fillId="0" borderId="61" xfId="0" applyFont="1" applyBorder="1"/>
    <xf numFmtId="0" fontId="5" fillId="0" borderId="60" xfId="0" applyFont="1" applyBorder="1" applyAlignment="1">
      <alignment horizontal="center"/>
    </xf>
    <xf numFmtId="3" fontId="11" fillId="0" borderId="5" xfId="0" applyNumberFormat="1" applyFont="1" applyFill="1" applyBorder="1"/>
    <xf numFmtId="3" fontId="0" fillId="0" borderId="25" xfId="0" applyNumberFormat="1" applyBorder="1"/>
    <xf numFmtId="0" fontId="13" fillId="0" borderId="1" xfId="0" applyFont="1" applyBorder="1"/>
    <xf numFmtId="49" fontId="13" fillId="0" borderId="1" xfId="0" applyNumberFormat="1" applyFont="1" applyBorder="1"/>
    <xf numFmtId="0" fontId="11" fillId="0" borderId="1" xfId="0" applyFont="1" applyBorder="1"/>
    <xf numFmtId="0" fontId="0" fillId="0" borderId="60" xfId="0" applyBorder="1"/>
    <xf numFmtId="3" fontId="11" fillId="0" borderId="62" xfId="0" applyNumberFormat="1" applyFont="1" applyFill="1" applyBorder="1"/>
    <xf numFmtId="3" fontId="0" fillId="0" borderId="24" xfId="0" applyNumberFormat="1" applyBorder="1"/>
    <xf numFmtId="0" fontId="5" fillId="0" borderId="63" xfId="0" applyFont="1" applyBorder="1"/>
    <xf numFmtId="0" fontId="11" fillId="0" borderId="1" xfId="0" applyFont="1" applyBorder="1" applyAlignment="1"/>
    <xf numFmtId="0" fontId="11" fillId="0" borderId="1" xfId="0" applyFont="1" applyBorder="1" applyAlignment="1">
      <alignment shrinkToFit="1"/>
    </xf>
    <xf numFmtId="0" fontId="11" fillId="0" borderId="19" xfId="0" applyFont="1" applyBorder="1" applyAlignment="1">
      <alignment horizontal="center" shrinkToFit="1"/>
    </xf>
    <xf numFmtId="3" fontId="11" fillId="0" borderId="6" xfId="0" applyNumberFormat="1" applyFont="1" applyBorder="1"/>
    <xf numFmtId="0" fontId="6" fillId="0" borderId="64" xfId="0" applyFont="1" applyFill="1" applyBorder="1"/>
    <xf numFmtId="3" fontId="6" fillId="0" borderId="6" xfId="0" applyNumberFormat="1" applyFont="1" applyBorder="1"/>
    <xf numFmtId="0" fontId="5" fillId="0" borderId="65" xfId="0" applyFont="1" applyBorder="1" applyAlignment="1">
      <alignment horizontal="center"/>
    </xf>
    <xf numFmtId="0" fontId="11" fillId="0" borderId="0" xfId="0" applyFont="1" applyBorder="1" applyAlignment="1">
      <alignment shrinkToFit="1"/>
    </xf>
    <xf numFmtId="0" fontId="11" fillId="0" borderId="43" xfId="0" applyFont="1" applyBorder="1" applyAlignment="1">
      <alignment horizontal="center" shrinkToFit="1"/>
    </xf>
    <xf numFmtId="3" fontId="11" fillId="0" borderId="6" xfId="0" applyNumberFormat="1" applyFont="1" applyFill="1" applyBorder="1"/>
    <xf numFmtId="0" fontId="5" fillId="0" borderId="66" xfId="0" applyFont="1" applyBorder="1" applyAlignment="1">
      <alignment horizontal="center"/>
    </xf>
    <xf numFmtId="0" fontId="11" fillId="0" borderId="0" xfId="0" applyFont="1" applyFill="1" applyBorder="1" applyAlignment="1"/>
    <xf numFmtId="0" fontId="0" fillId="2" borderId="12" xfId="0" applyFill="1" applyBorder="1"/>
    <xf numFmtId="0" fontId="0" fillId="2" borderId="15" xfId="0" applyFill="1" applyBorder="1" applyAlignment="1">
      <alignment horizontal="center"/>
    </xf>
    <xf numFmtId="3" fontId="9" fillId="2" borderId="13" xfId="0" applyNumberFormat="1" applyFont="1" applyFill="1" applyBorder="1"/>
    <xf numFmtId="3" fontId="9" fillId="2" borderId="14" xfId="0" applyNumberFormat="1" applyFont="1" applyFill="1" applyBorder="1"/>
    <xf numFmtId="0" fontId="12" fillId="0" borderId="3" xfId="0" applyFont="1" applyBorder="1"/>
    <xf numFmtId="0" fontId="0" fillId="0" borderId="3" xfId="0" applyBorder="1" applyAlignment="1">
      <alignment horizontal="left"/>
    </xf>
    <xf numFmtId="3" fontId="11" fillId="0" borderId="7" xfId="0" applyNumberFormat="1" applyFont="1" applyBorder="1"/>
    <xf numFmtId="0" fontId="0" fillId="0" borderId="1" xfId="0" applyBorder="1" applyAlignment="1">
      <alignment horizontal="left"/>
    </xf>
    <xf numFmtId="0" fontId="0" fillId="0" borderId="51" xfId="0" applyBorder="1"/>
    <xf numFmtId="0" fontId="0" fillId="0" borderId="1" xfId="0" applyFill="1" applyBorder="1" applyAlignment="1"/>
    <xf numFmtId="0" fontId="11" fillId="0" borderId="1" xfId="0" applyFont="1" applyFill="1" applyBorder="1" applyAlignment="1"/>
    <xf numFmtId="0" fontId="11" fillId="0" borderId="17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7" xfId="0" applyFont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0" fillId="0" borderId="67" xfId="0" applyBorder="1"/>
    <xf numFmtId="0" fontId="12" fillId="0" borderId="60" xfId="0" applyFont="1" applyBorder="1"/>
    <xf numFmtId="0" fontId="4" fillId="2" borderId="11" xfId="0" applyFont="1" applyFill="1" applyBorder="1"/>
    <xf numFmtId="0" fontId="14" fillId="2" borderId="11" xfId="0" applyFont="1" applyFill="1" applyBorder="1"/>
    <xf numFmtId="3" fontId="6" fillId="2" borderId="13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0" fontId="15" fillId="0" borderId="0" xfId="0" applyFont="1" applyAlignment="1">
      <alignment horizontal="left"/>
    </xf>
    <xf numFmtId="0" fontId="5" fillId="0" borderId="20" xfId="0" applyFont="1" applyBorder="1"/>
    <xf numFmtId="0" fontId="11" fillId="0" borderId="0" xfId="0" applyFont="1" applyBorder="1"/>
    <xf numFmtId="0" fontId="0" fillId="0" borderId="43" xfId="0" applyBorder="1" applyAlignment="1">
      <alignment horizontal="center"/>
    </xf>
    <xf numFmtId="3" fontId="11" fillId="0" borderId="4" xfId="0" applyNumberFormat="1" applyFont="1" applyFill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3" fontId="1" fillId="0" borderId="5" xfId="0" applyNumberFormat="1" applyFont="1" applyFill="1" applyBorder="1"/>
    <xf numFmtId="0" fontId="1" fillId="0" borderId="1" xfId="0" applyFont="1" applyBorder="1"/>
    <xf numFmtId="2" fontId="10" fillId="0" borderId="68" xfId="0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>
      <alignment vertical="center"/>
    </xf>
    <xf numFmtId="3" fontId="1" fillId="0" borderId="6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3" fontId="16" fillId="0" borderId="69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0" xfId="0" applyFont="1" applyFill="1" applyBorder="1" applyAlignment="1"/>
    <xf numFmtId="0" fontId="1" fillId="0" borderId="1" xfId="0" applyFont="1" applyFill="1" applyBorder="1"/>
    <xf numFmtId="166" fontId="6" fillId="0" borderId="4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3" fontId="0" fillId="0" borderId="0" xfId="0" applyNumberFormat="1" applyBorder="1" applyAlignment="1"/>
    <xf numFmtId="3" fontId="0" fillId="0" borderId="0" xfId="0" applyNumberFormat="1" applyFill="1" applyBorder="1" applyAlignment="1"/>
    <xf numFmtId="3" fontId="10" fillId="0" borderId="0" xfId="0" applyNumberFormat="1" applyFont="1" applyBorder="1" applyAlignment="1"/>
    <xf numFmtId="3" fontId="6" fillId="0" borderId="0" xfId="0" applyNumberFormat="1" applyFont="1" applyBorder="1" applyAlignment="1"/>
    <xf numFmtId="0" fontId="1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shrinkToFit="1"/>
    </xf>
    <xf numFmtId="0" fontId="1" fillId="0" borderId="13" xfId="0" applyFont="1" applyFill="1" applyBorder="1" applyAlignment="1">
      <alignment horizontal="center"/>
    </xf>
    <xf numFmtId="0" fontId="3" fillId="0" borderId="60" xfId="0" applyFont="1" applyBorder="1" applyAlignment="1">
      <alignment horizontal="center"/>
    </xf>
    <xf numFmtId="3" fontId="1" fillId="0" borderId="7" xfId="0" applyNumberFormat="1" applyFont="1" applyFill="1" applyBorder="1"/>
    <xf numFmtId="3" fontId="1" fillId="0" borderId="62" xfId="0" applyNumberFormat="1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shrinkToFit="1"/>
    </xf>
    <xf numFmtId="0" fontId="1" fillId="0" borderId="19" xfId="0" applyFont="1" applyBorder="1" applyAlignment="1">
      <alignment horizontal="center" shrinkToFit="1"/>
    </xf>
    <xf numFmtId="0" fontId="1" fillId="0" borderId="0" xfId="0" applyFont="1" applyBorder="1" applyAlignment="1">
      <alignment shrinkToFit="1"/>
    </xf>
    <xf numFmtId="0" fontId="1" fillId="0" borderId="43" xfId="0" applyFont="1" applyBorder="1" applyAlignment="1">
      <alignment horizontal="center" shrinkToFit="1"/>
    </xf>
    <xf numFmtId="3" fontId="1" fillId="0" borderId="6" xfId="0" applyNumberFormat="1" applyFont="1" applyFill="1" applyBorder="1"/>
    <xf numFmtId="0" fontId="3" fillId="0" borderId="3" xfId="0" applyFont="1" applyBorder="1"/>
    <xf numFmtId="3" fontId="1" fillId="0" borderId="7" xfId="0" applyNumberFormat="1" applyFont="1" applyBorder="1"/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/>
    <xf numFmtId="0" fontId="1" fillId="0" borderId="17" xfId="0" applyFont="1" applyBorder="1" applyAlignment="1">
      <alignment horizontal="center" vertical="justify"/>
    </xf>
    <xf numFmtId="0" fontId="3" fillId="0" borderId="60" xfId="0" applyFont="1" applyBorder="1"/>
    <xf numFmtId="0" fontId="1" fillId="0" borderId="0" xfId="0" applyFont="1" applyBorder="1"/>
    <xf numFmtId="3" fontId="1" fillId="0" borderId="4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1" fillId="0" borderId="48" xfId="0" applyNumberFormat="1" applyFont="1" applyBorder="1" applyAlignment="1"/>
    <xf numFmtId="164" fontId="0" fillId="0" borderId="49" xfId="0" applyNumberFormat="1" applyBorder="1" applyAlignment="1"/>
    <xf numFmtId="164" fontId="0" fillId="0" borderId="50" xfId="0" applyNumberFormat="1" applyBorder="1" applyAlignment="1"/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164" fontId="0" fillId="0" borderId="48" xfId="0" applyNumberFormat="1" applyBorder="1" applyAlignment="1"/>
    <xf numFmtId="0" fontId="12" fillId="0" borderId="4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opLeftCell="A49" workbookViewId="0">
      <selection activeCell="F20" sqref="F20"/>
    </sheetView>
  </sheetViews>
  <sheetFormatPr defaultRowHeight="13.2" x14ac:dyDescent="0.25"/>
  <cols>
    <col min="1" max="1" width="2.6640625" customWidth="1"/>
    <col min="2" max="2" width="4.5546875" customWidth="1"/>
    <col min="3" max="3" width="6.44140625" customWidth="1"/>
    <col min="4" max="4" width="52.109375" customWidth="1"/>
    <col min="5" max="5" width="9.33203125" customWidth="1"/>
    <col min="6" max="6" width="12.44140625" customWidth="1"/>
    <col min="7" max="7" width="11.6640625" customWidth="1"/>
    <col min="8" max="8" width="12.109375" customWidth="1"/>
    <col min="9" max="9" width="12.6640625" customWidth="1"/>
    <col min="10" max="10" width="12.109375" customWidth="1"/>
    <col min="11" max="11" width="12.44140625" customWidth="1"/>
    <col min="12" max="12" width="12.33203125" customWidth="1"/>
    <col min="13" max="13" width="11.6640625" customWidth="1"/>
    <col min="14" max="14" width="12.33203125" customWidth="1"/>
    <col min="15" max="15" width="11.5546875" customWidth="1"/>
    <col min="16" max="16" width="11.88671875" customWidth="1"/>
    <col min="17" max="17" width="11.5546875" customWidth="1"/>
    <col min="18" max="18" width="14.44140625" customWidth="1"/>
    <col min="21" max="21" width="17.109375" customWidth="1"/>
  </cols>
  <sheetData>
    <row r="1" spans="1:18" ht="18" customHeight="1" x14ac:dyDescent="0.5">
      <c r="A1" s="1" t="s">
        <v>29</v>
      </c>
      <c r="G1" s="105" t="s">
        <v>109</v>
      </c>
      <c r="P1" s="6"/>
      <c r="Q1" s="11"/>
    </row>
    <row r="2" spans="1:18" ht="5.25" customHeight="1" x14ac:dyDescent="0.25">
      <c r="A2" s="2"/>
    </row>
    <row r="3" spans="1:18" ht="19.5" customHeight="1" x14ac:dyDescent="0.5">
      <c r="A3" s="7" t="s">
        <v>128</v>
      </c>
      <c r="R3" s="19" t="s">
        <v>118</v>
      </c>
    </row>
    <row r="4" spans="1:18" ht="5.25" customHeight="1" thickBot="1" x14ac:dyDescent="0.3">
      <c r="O4" s="20"/>
      <c r="R4" s="3"/>
    </row>
    <row r="5" spans="1:18" ht="11.25" customHeight="1" thickTop="1" x14ac:dyDescent="0.25">
      <c r="A5" s="156" t="s">
        <v>59</v>
      </c>
      <c r="B5" s="157"/>
      <c r="C5" s="157"/>
      <c r="D5" s="158"/>
      <c r="E5" s="165" t="s">
        <v>27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9"/>
    </row>
    <row r="6" spans="1:18" ht="12.75" customHeight="1" x14ac:dyDescent="0.45">
      <c r="A6" s="159"/>
      <c r="B6" s="160"/>
      <c r="C6" s="160"/>
      <c r="D6" s="161"/>
      <c r="E6" s="166"/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37</v>
      </c>
      <c r="N6" s="10" t="s">
        <v>38</v>
      </c>
      <c r="O6" s="10" t="s">
        <v>39</v>
      </c>
      <c r="P6" s="10" t="s">
        <v>40</v>
      </c>
      <c r="Q6" s="10" t="s">
        <v>41</v>
      </c>
      <c r="R6" s="12" t="s">
        <v>0</v>
      </c>
    </row>
    <row r="7" spans="1:18" ht="10.5" customHeight="1" thickBot="1" x14ac:dyDescent="0.3">
      <c r="A7" s="162"/>
      <c r="B7" s="163"/>
      <c r="C7" s="163"/>
      <c r="D7" s="164"/>
      <c r="E7" s="16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4"/>
    </row>
    <row r="8" spans="1:18" ht="6.75" customHeight="1" thickBot="1" x14ac:dyDescent="0.3">
      <c r="A8" s="133"/>
      <c r="B8" s="13"/>
      <c r="C8" s="13"/>
      <c r="D8" s="13"/>
      <c r="E8" s="15"/>
      <c r="F8" s="134"/>
      <c r="G8" s="134"/>
      <c r="H8" s="134"/>
      <c r="I8" s="134"/>
      <c r="J8" s="134"/>
      <c r="K8" s="134"/>
      <c r="L8" s="134"/>
      <c r="M8" s="134"/>
      <c r="N8" s="46"/>
      <c r="O8" s="21"/>
      <c r="P8" s="21"/>
      <c r="Q8" s="46"/>
      <c r="R8" s="14"/>
    </row>
    <row r="9" spans="1:18" ht="16.5" customHeight="1" thickBot="1" x14ac:dyDescent="0.5">
      <c r="A9" s="47" t="s">
        <v>60</v>
      </c>
      <c r="B9" s="48"/>
      <c r="C9" s="48"/>
      <c r="D9" s="48"/>
      <c r="E9" s="49"/>
      <c r="F9" s="50">
        <f t="shared" ref="F9:L9" si="0">+F10+F39+F42</f>
        <v>26738232.910000004</v>
      </c>
      <c r="G9" s="50">
        <f t="shared" si="0"/>
        <v>25656766.180000007</v>
      </c>
      <c r="H9" s="50">
        <f t="shared" si="0"/>
        <v>28431698.119999997</v>
      </c>
      <c r="I9" s="50">
        <f t="shared" si="0"/>
        <v>28339536.399999999</v>
      </c>
      <c r="J9" s="50">
        <f t="shared" si="0"/>
        <v>31497968.780000009</v>
      </c>
      <c r="K9" s="50">
        <f t="shared" si="0"/>
        <v>27723746.520000003</v>
      </c>
      <c r="L9" s="50">
        <f t="shared" si="0"/>
        <v>29933892.799999997</v>
      </c>
      <c r="M9" s="50">
        <f>+M10+M39+M42</f>
        <v>28312710.400000002</v>
      </c>
      <c r="N9" s="50">
        <f t="shared" ref="N9:Q9" si="1">+N10+N39+N42</f>
        <v>28658921.200000003</v>
      </c>
      <c r="O9" s="50">
        <f>+O10+O39+O42</f>
        <v>28924609.249999996</v>
      </c>
      <c r="P9" s="50">
        <f>+P10+P39+P42</f>
        <v>31116475.130000003</v>
      </c>
      <c r="Q9" s="50">
        <f t="shared" si="1"/>
        <v>38900862.689999998</v>
      </c>
      <c r="R9" s="51">
        <f>SUM(F9:Q9)</f>
        <v>354235420.38000005</v>
      </c>
    </row>
    <row r="10" spans="1:18" ht="16.5" customHeight="1" x14ac:dyDescent="0.45">
      <c r="A10" s="52" t="s">
        <v>61</v>
      </c>
      <c r="B10" s="53"/>
      <c r="C10" s="53"/>
      <c r="D10" s="53"/>
      <c r="E10" s="54"/>
      <c r="F10" s="55">
        <f t="shared" ref="F10:L10" si="2">+SUM(F11:F38)-F13-F14-F21-F23-F24-F25</f>
        <v>26738232.910000004</v>
      </c>
      <c r="G10" s="55">
        <f t="shared" si="2"/>
        <v>25656766.180000007</v>
      </c>
      <c r="H10" s="55">
        <f t="shared" si="2"/>
        <v>28431540.369999997</v>
      </c>
      <c r="I10" s="55">
        <f t="shared" si="2"/>
        <v>28339536.399999999</v>
      </c>
      <c r="J10" s="55">
        <f t="shared" si="2"/>
        <v>31497792.070000008</v>
      </c>
      <c r="K10" s="55">
        <f t="shared" si="2"/>
        <v>27723746.520000003</v>
      </c>
      <c r="L10" s="55">
        <f t="shared" si="2"/>
        <v>29933892.799999997</v>
      </c>
      <c r="M10" s="55">
        <f>+SUM(M11:M38)-M13-M14-M21-M23-M24-M25</f>
        <v>28311294.240000002</v>
      </c>
      <c r="N10" s="55">
        <f t="shared" ref="N10:Q10" si="3">+SUM(N11:N38)-N13-N14-N21-N23-N24-N25</f>
        <v>28658379.810000002</v>
      </c>
      <c r="O10" s="55">
        <f t="shared" si="3"/>
        <v>28924235.009999998</v>
      </c>
      <c r="P10" s="55">
        <f>+SUM(P11:P38)-P13-P14-P21-P23-P24-P25</f>
        <v>31116475.130000003</v>
      </c>
      <c r="Q10" s="55">
        <f t="shared" si="3"/>
        <v>38900862.689999998</v>
      </c>
      <c r="R10" s="25">
        <f t="shared" ref="R10:R79" si="4">SUM(F10:Q10)</f>
        <v>354232754.13</v>
      </c>
    </row>
    <row r="11" spans="1:18" ht="13.5" customHeight="1" x14ac:dyDescent="0.3">
      <c r="A11" s="56"/>
      <c r="B11" s="135" t="s">
        <v>62</v>
      </c>
      <c r="C11" s="5" t="s">
        <v>2</v>
      </c>
      <c r="D11" s="5"/>
      <c r="E11" s="16">
        <v>501</v>
      </c>
      <c r="F11" s="136">
        <v>2689341.83</v>
      </c>
      <c r="G11" s="136">
        <v>3092672.54</v>
      </c>
      <c r="H11" s="136">
        <v>3552332.13</v>
      </c>
      <c r="I11" s="136">
        <v>4076254.73</v>
      </c>
      <c r="J11" s="136">
        <v>3748770.42</v>
      </c>
      <c r="K11" s="136">
        <v>3646689.16</v>
      </c>
      <c r="L11" s="136">
        <v>4332162.6500000004</v>
      </c>
      <c r="M11" s="136">
        <f>3829153.04+1</f>
        <v>3829154.04</v>
      </c>
      <c r="N11" s="136">
        <v>3822783.99</v>
      </c>
      <c r="O11" s="136">
        <v>4717290.7</v>
      </c>
      <c r="P11" s="136">
        <v>5640954.4199999999</v>
      </c>
      <c r="Q11" s="136">
        <v>6307176.0199999996</v>
      </c>
      <c r="R11" s="58">
        <f t="shared" si="4"/>
        <v>49455582.63000001</v>
      </c>
    </row>
    <row r="12" spans="1:18" ht="13.8" x14ac:dyDescent="0.3">
      <c r="A12" s="60"/>
      <c r="B12" s="61" t="s">
        <v>63</v>
      </c>
      <c r="C12" s="4" t="s">
        <v>64</v>
      </c>
      <c r="D12" s="4"/>
      <c r="E12" s="17">
        <v>502</v>
      </c>
      <c r="F12" s="113">
        <v>1101618.26</v>
      </c>
      <c r="G12" s="113">
        <v>959224.4</v>
      </c>
      <c r="H12" s="113">
        <v>928836.09</v>
      </c>
      <c r="I12" s="113">
        <v>779366.89</v>
      </c>
      <c r="J12" s="113">
        <v>775997</v>
      </c>
      <c r="K12" s="113">
        <v>615571.17000000004</v>
      </c>
      <c r="L12" s="113">
        <v>597728.25</v>
      </c>
      <c r="M12" s="113">
        <v>586454.04</v>
      </c>
      <c r="N12" s="113">
        <v>659546.81999999995</v>
      </c>
      <c r="O12" s="113">
        <v>832368.72</v>
      </c>
      <c r="P12" s="113">
        <v>913696.23</v>
      </c>
      <c r="Q12" s="113">
        <v>1365139.7</v>
      </c>
      <c r="R12" s="63">
        <f t="shared" si="4"/>
        <v>10115547.57</v>
      </c>
    </row>
    <row r="13" spans="1:18" ht="13.8" x14ac:dyDescent="0.3">
      <c r="A13" s="60"/>
      <c r="B13" s="61"/>
      <c r="C13" s="64" t="s">
        <v>65</v>
      </c>
      <c r="D13" s="65" t="s">
        <v>66</v>
      </c>
      <c r="E13" s="17"/>
      <c r="F13" s="113">
        <f>1828.63+336025.4</f>
        <v>337854.03</v>
      </c>
      <c r="G13" s="113">
        <f>24689.45+295523.23</f>
        <v>320212.68</v>
      </c>
      <c r="H13" s="113">
        <f>287129.81+21711.75</f>
        <v>308841.56</v>
      </c>
      <c r="I13" s="113">
        <f>1829.92+282688.96</f>
        <v>284518.88</v>
      </c>
      <c r="J13" s="113">
        <f>286635.23+2015.13</f>
        <v>288650.36</v>
      </c>
      <c r="K13" s="113">
        <f>253757.54+24185.36</f>
        <v>277942.90000000002</v>
      </c>
      <c r="L13" s="113">
        <f>276607.62+1741.18</f>
        <v>278348.79999999999</v>
      </c>
      <c r="M13" s="113">
        <f>1730.56+274577.85</f>
        <v>276308.40999999997</v>
      </c>
      <c r="N13" s="113">
        <f>23879.55+257226.08</f>
        <v>281105.63</v>
      </c>
      <c r="O13" s="113">
        <f>2589.09+304348.99</f>
        <v>306938.08</v>
      </c>
      <c r="P13" s="113">
        <f>317255.21+1913.46</f>
        <v>319168.67000000004</v>
      </c>
      <c r="Q13" s="113">
        <f>352114.65+157580.56</f>
        <v>509695.21</v>
      </c>
      <c r="R13" s="63">
        <f t="shared" si="4"/>
        <v>3789585.2099999995</v>
      </c>
    </row>
    <row r="14" spans="1:18" ht="13.8" x14ac:dyDescent="0.3">
      <c r="A14" s="60"/>
      <c r="B14" s="61"/>
      <c r="C14" s="64"/>
      <c r="D14" s="65" t="s">
        <v>67</v>
      </c>
      <c r="E14" s="17"/>
      <c r="F14" s="113">
        <f>692262.57+33657.53</f>
        <v>725920.1</v>
      </c>
      <c r="G14" s="113">
        <f>578153.86+27225.54</f>
        <v>605379.4</v>
      </c>
      <c r="H14" s="113">
        <f>46006.96+531683.95</f>
        <v>577690.90999999992</v>
      </c>
      <c r="I14" s="113">
        <f>452735.7+17329.61</f>
        <v>470065.31</v>
      </c>
      <c r="J14" s="113">
        <f>15848.7+428822.65</f>
        <v>444671.35000000003</v>
      </c>
      <c r="K14" s="113">
        <f>25615.95+245916.45</f>
        <v>271532.40000000002</v>
      </c>
      <c r="L14" s="113">
        <f>7396.33+273457.72</f>
        <v>280854.05</v>
      </c>
      <c r="M14" s="113">
        <f>7259.45+267891.2</f>
        <v>275150.65000000002</v>
      </c>
      <c r="N14" s="113">
        <f>319613.42+20612.06</f>
        <v>340225.48</v>
      </c>
      <c r="O14" s="113">
        <f>462063.37+2589.09</f>
        <v>464652.46</v>
      </c>
      <c r="P14" s="113">
        <f>535697.79+22781.87</f>
        <v>558479.66</v>
      </c>
      <c r="Q14" s="113">
        <f>652769.54+61783.95</f>
        <v>714553.49</v>
      </c>
      <c r="R14" s="63">
        <f t="shared" si="4"/>
        <v>5729175.2599999998</v>
      </c>
    </row>
    <row r="15" spans="1:18" ht="13.8" x14ac:dyDescent="0.3">
      <c r="A15" s="60"/>
      <c r="B15" s="61" t="s">
        <v>68</v>
      </c>
      <c r="C15" s="114" t="s">
        <v>111</v>
      </c>
      <c r="D15" s="4"/>
      <c r="E15" s="17">
        <v>506</v>
      </c>
      <c r="F15" s="113">
        <v>0</v>
      </c>
      <c r="G15" s="113">
        <v>0</v>
      </c>
      <c r="H15" s="113">
        <v>0</v>
      </c>
      <c r="I15" s="113">
        <v>-7910.57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63">
        <f t="shared" si="4"/>
        <v>-7910.57</v>
      </c>
    </row>
    <row r="16" spans="1:18" ht="13.8" x14ac:dyDescent="0.3">
      <c r="A16" s="60"/>
      <c r="B16" s="61" t="s">
        <v>69</v>
      </c>
      <c r="C16" s="4" t="s">
        <v>3</v>
      </c>
      <c r="D16" s="4"/>
      <c r="E16" s="17">
        <v>504</v>
      </c>
      <c r="F16" s="113">
        <v>43794.97</v>
      </c>
      <c r="G16" s="113">
        <v>46049.65</v>
      </c>
      <c r="H16" s="113">
        <v>39417.97</v>
      </c>
      <c r="I16" s="113">
        <v>41891.519999999997</v>
      </c>
      <c r="J16" s="113">
        <v>43348.59</v>
      </c>
      <c r="K16" s="113">
        <v>39467.800000000003</v>
      </c>
      <c r="L16" s="113">
        <v>43612.5</v>
      </c>
      <c r="M16" s="113">
        <v>49716.46</v>
      </c>
      <c r="N16" s="113">
        <v>52965.94</v>
      </c>
      <c r="O16" s="113">
        <v>56834.6</v>
      </c>
      <c r="P16" s="113">
        <v>53886.55</v>
      </c>
      <c r="Q16" s="113">
        <v>37800.589999999997</v>
      </c>
      <c r="R16" s="63">
        <f t="shared" si="4"/>
        <v>548787.14</v>
      </c>
    </row>
    <row r="17" spans="1:18" ht="13.8" x14ac:dyDescent="0.3">
      <c r="A17" s="60"/>
      <c r="B17" s="61" t="s">
        <v>70</v>
      </c>
      <c r="C17" s="4" t="s">
        <v>4</v>
      </c>
      <c r="D17" s="4"/>
      <c r="E17" s="17">
        <v>511</v>
      </c>
      <c r="F17" s="113">
        <v>51929.16</v>
      </c>
      <c r="G17" s="113">
        <v>178325</v>
      </c>
      <c r="H17" s="113">
        <v>502295.94</v>
      </c>
      <c r="I17" s="113">
        <v>225911.65</v>
      </c>
      <c r="J17" s="113">
        <v>317296.37</v>
      </c>
      <c r="K17" s="113">
        <v>316446.02</v>
      </c>
      <c r="L17" s="113">
        <v>331170.44</v>
      </c>
      <c r="M17" s="113">
        <v>143564.62</v>
      </c>
      <c r="N17" s="113">
        <v>291709.83</v>
      </c>
      <c r="O17" s="113">
        <v>213788.12</v>
      </c>
      <c r="P17" s="113">
        <v>1162046.3400000001</v>
      </c>
      <c r="Q17" s="113">
        <v>451546.51</v>
      </c>
      <c r="R17" s="63">
        <f t="shared" si="4"/>
        <v>4186030</v>
      </c>
    </row>
    <row r="18" spans="1:18" ht="13.5" customHeight="1" x14ac:dyDescent="0.3">
      <c r="A18" s="60"/>
      <c r="B18" s="61" t="s">
        <v>72</v>
      </c>
      <c r="C18" s="4" t="s">
        <v>5</v>
      </c>
      <c r="D18" s="4"/>
      <c r="E18" s="17">
        <v>512</v>
      </c>
      <c r="F18" s="113">
        <v>1268</v>
      </c>
      <c r="G18" s="113">
        <v>15058</v>
      </c>
      <c r="H18" s="113">
        <v>8129</v>
      </c>
      <c r="I18" s="113">
        <v>8769</v>
      </c>
      <c r="J18" s="113">
        <v>5704</v>
      </c>
      <c r="K18" s="113">
        <v>16951</v>
      </c>
      <c r="L18" s="113">
        <v>4060</v>
      </c>
      <c r="M18" s="113">
        <v>2610</v>
      </c>
      <c r="N18" s="113">
        <v>3447</v>
      </c>
      <c r="O18" s="113">
        <v>18696</v>
      </c>
      <c r="P18" s="113">
        <v>29835</v>
      </c>
      <c r="Q18" s="113">
        <v>13696</v>
      </c>
      <c r="R18" s="63">
        <f t="shared" si="4"/>
        <v>128223</v>
      </c>
    </row>
    <row r="19" spans="1:18" ht="13.8" x14ac:dyDescent="0.3">
      <c r="A19" s="60"/>
      <c r="B19" s="61" t="s">
        <v>8</v>
      </c>
      <c r="C19" s="4" t="s">
        <v>6</v>
      </c>
      <c r="D19" s="4"/>
      <c r="E19" s="17">
        <v>513</v>
      </c>
      <c r="F19" s="113">
        <v>320</v>
      </c>
      <c r="G19" s="113">
        <v>2506.6999999999998</v>
      </c>
      <c r="H19" s="113">
        <v>710</v>
      </c>
      <c r="I19" s="113">
        <v>3119</v>
      </c>
      <c r="J19" s="113">
        <v>581</v>
      </c>
      <c r="K19" s="113">
        <v>4329</v>
      </c>
      <c r="L19" s="113">
        <v>1869.14</v>
      </c>
      <c r="M19" s="113">
        <v>750</v>
      </c>
      <c r="N19" s="113">
        <v>19874.900000000001</v>
      </c>
      <c r="O19" s="113">
        <v>1561</v>
      </c>
      <c r="P19" s="113">
        <v>799</v>
      </c>
      <c r="Q19" s="113">
        <v>5074.8</v>
      </c>
      <c r="R19" s="63">
        <f t="shared" si="4"/>
        <v>41494.540000000008</v>
      </c>
    </row>
    <row r="20" spans="1:18" ht="13.8" x14ac:dyDescent="0.3">
      <c r="A20" s="60"/>
      <c r="B20" s="61" t="s">
        <v>10</v>
      </c>
      <c r="C20" s="4" t="s">
        <v>7</v>
      </c>
      <c r="D20" s="4"/>
      <c r="E20" s="17">
        <v>518</v>
      </c>
      <c r="F20" s="113">
        <v>1213273.8500000001</v>
      </c>
      <c r="G20" s="113">
        <v>386565.57</v>
      </c>
      <c r="H20" s="113">
        <v>501476.35</v>
      </c>
      <c r="I20" s="113">
        <v>580065.96</v>
      </c>
      <c r="J20" s="113">
        <v>601609.61</v>
      </c>
      <c r="K20" s="113">
        <v>481256.41</v>
      </c>
      <c r="L20" s="113">
        <v>742147.86</v>
      </c>
      <c r="M20" s="113">
        <v>448959.73</v>
      </c>
      <c r="N20" s="113">
        <v>669258.38</v>
      </c>
      <c r="O20" s="113">
        <v>576502.17000000004</v>
      </c>
      <c r="P20" s="113">
        <v>578264.80000000005</v>
      </c>
      <c r="Q20" s="113">
        <v>1551527.92</v>
      </c>
      <c r="R20" s="63">
        <f t="shared" si="4"/>
        <v>8330908.6099999994</v>
      </c>
    </row>
    <row r="21" spans="1:18" ht="13.8" x14ac:dyDescent="0.3">
      <c r="A21" s="60"/>
      <c r="B21" s="61"/>
      <c r="C21" s="64" t="s">
        <v>65</v>
      </c>
      <c r="D21" s="65" t="s">
        <v>74</v>
      </c>
      <c r="E21" s="17"/>
      <c r="F21" s="113">
        <v>6304.9</v>
      </c>
      <c r="G21" s="113">
        <v>7251.54</v>
      </c>
      <c r="H21" s="113">
        <f>6384.89+129.38</f>
        <v>6514.27</v>
      </c>
      <c r="I21" s="113">
        <v>6254.74</v>
      </c>
      <c r="J21" s="113">
        <v>6363.39</v>
      </c>
      <c r="K21" s="113">
        <f>6514.69+125.62</f>
        <v>6640.3099999999995</v>
      </c>
      <c r="L21" s="113">
        <v>6338.36</v>
      </c>
      <c r="M21" s="113">
        <v>6076.17</v>
      </c>
      <c r="N21" s="113">
        <f>6201.42+123.89</f>
        <v>6325.31</v>
      </c>
      <c r="O21" s="113">
        <v>6113.95</v>
      </c>
      <c r="P21" s="113">
        <v>6248.84</v>
      </c>
      <c r="Q21" s="113">
        <f>6547.15+149.64</f>
        <v>6696.79</v>
      </c>
      <c r="R21" s="63">
        <f t="shared" si="4"/>
        <v>77128.569999999978</v>
      </c>
    </row>
    <row r="22" spans="1:18" ht="13.8" x14ac:dyDescent="0.3">
      <c r="A22" s="60"/>
      <c r="B22" s="61" t="s">
        <v>11</v>
      </c>
      <c r="C22" s="4" t="s">
        <v>9</v>
      </c>
      <c r="D22" s="4"/>
      <c r="E22" s="17">
        <v>521</v>
      </c>
      <c r="F22" s="113">
        <f t="shared" ref="F22:L22" si="5">+F23+F24+F25</f>
        <v>14722503</v>
      </c>
      <c r="G22" s="113">
        <f t="shared" si="5"/>
        <v>14275996</v>
      </c>
      <c r="H22" s="113">
        <f t="shared" si="5"/>
        <v>14962115</v>
      </c>
      <c r="I22" s="113">
        <f t="shared" si="5"/>
        <v>15297235</v>
      </c>
      <c r="J22" s="113">
        <f t="shared" si="5"/>
        <v>17639205</v>
      </c>
      <c r="K22" s="113">
        <f t="shared" si="5"/>
        <v>15302296</v>
      </c>
      <c r="L22" s="113">
        <f t="shared" si="5"/>
        <v>16416216</v>
      </c>
      <c r="M22" s="113">
        <f>+M23+M24+M25</f>
        <v>15958854</v>
      </c>
      <c r="N22" s="113">
        <f t="shared" ref="N22:Q22" si="6">+N23+N24+N25</f>
        <v>15668831</v>
      </c>
      <c r="O22" s="113">
        <f t="shared" si="6"/>
        <v>15384203</v>
      </c>
      <c r="P22" s="113">
        <f>+P23+P24+P25</f>
        <v>15304597</v>
      </c>
      <c r="Q22" s="113">
        <f t="shared" si="6"/>
        <v>17950539</v>
      </c>
      <c r="R22" s="63">
        <f t="shared" si="4"/>
        <v>188882590</v>
      </c>
    </row>
    <row r="23" spans="1:18" ht="13.8" x14ac:dyDescent="0.3">
      <c r="A23" s="60"/>
      <c r="B23" s="67"/>
      <c r="C23" s="64" t="s">
        <v>65</v>
      </c>
      <c r="D23" s="64" t="s">
        <v>75</v>
      </c>
      <c r="E23" s="17"/>
      <c r="F23" s="113">
        <v>14418368</v>
      </c>
      <c r="G23" s="113">
        <v>13888950</v>
      </c>
      <c r="H23" s="113">
        <f>160180.86+14335238.14</f>
        <v>14495419</v>
      </c>
      <c r="I23" s="113">
        <v>14819761</v>
      </c>
      <c r="J23" s="113">
        <v>17241621</v>
      </c>
      <c r="K23" s="113">
        <f>166460.37+14648095.63</f>
        <v>14814556</v>
      </c>
      <c r="L23" s="113">
        <v>15823243</v>
      </c>
      <c r="M23" s="113">
        <v>15384013</v>
      </c>
      <c r="N23" s="113">
        <f>160410.15+15060163.85</f>
        <v>15220574</v>
      </c>
      <c r="O23" s="113">
        <v>14949246</v>
      </c>
      <c r="P23" s="113">
        <v>14842556</v>
      </c>
      <c r="Q23" s="113">
        <f>175128.11+17385446.89</f>
        <v>17560575</v>
      </c>
      <c r="R23" s="63">
        <f t="shared" si="4"/>
        <v>183458882</v>
      </c>
    </row>
    <row r="24" spans="1:18" ht="13.8" x14ac:dyDescent="0.3">
      <c r="A24" s="60"/>
      <c r="B24" s="67"/>
      <c r="C24" s="64"/>
      <c r="D24" s="64" t="s">
        <v>76</v>
      </c>
      <c r="E24" s="17"/>
      <c r="F24" s="113">
        <v>267775</v>
      </c>
      <c r="G24" s="113">
        <v>284631</v>
      </c>
      <c r="H24" s="113">
        <f>36103.65+364975.35</f>
        <v>401079</v>
      </c>
      <c r="I24" s="113">
        <v>409604</v>
      </c>
      <c r="J24" s="113">
        <v>350737</v>
      </c>
      <c r="K24" s="113">
        <f>29970.71+439218.29</f>
        <v>469189</v>
      </c>
      <c r="L24" s="113">
        <v>553740</v>
      </c>
      <c r="M24" s="113">
        <v>512382</v>
      </c>
      <c r="N24" s="113">
        <f>23483.19+314396.81</f>
        <v>337880</v>
      </c>
      <c r="O24" s="113">
        <v>339853</v>
      </c>
      <c r="P24" s="113">
        <v>334347</v>
      </c>
      <c r="Q24" s="113">
        <f>28699.38+283597.62</f>
        <v>312297</v>
      </c>
      <c r="R24" s="63">
        <f t="shared" si="4"/>
        <v>4573514</v>
      </c>
    </row>
    <row r="25" spans="1:18" ht="13.8" x14ac:dyDescent="0.3">
      <c r="A25" s="60"/>
      <c r="B25" s="67"/>
      <c r="C25" s="64"/>
      <c r="D25" s="64" t="s">
        <v>77</v>
      </c>
      <c r="E25" s="17"/>
      <c r="F25" s="113">
        <v>36360</v>
      </c>
      <c r="G25" s="113">
        <v>102415</v>
      </c>
      <c r="H25" s="113">
        <f>64466.09+1150.91</f>
        <v>65617</v>
      </c>
      <c r="I25" s="113">
        <v>67870</v>
      </c>
      <c r="J25" s="113">
        <v>46847</v>
      </c>
      <c r="K25" s="113">
        <f>318.94+18232.06</f>
        <v>18551</v>
      </c>
      <c r="L25" s="113">
        <v>39233</v>
      </c>
      <c r="M25" s="113">
        <v>62459</v>
      </c>
      <c r="N25" s="113">
        <f>916.26+109460.74</f>
        <v>110377</v>
      </c>
      <c r="O25" s="113">
        <v>95104</v>
      </c>
      <c r="P25" s="113">
        <v>127694</v>
      </c>
      <c r="Q25" s="113">
        <f>76914.46+752.54</f>
        <v>77667</v>
      </c>
      <c r="R25" s="63">
        <f t="shared" si="4"/>
        <v>850194</v>
      </c>
    </row>
    <row r="26" spans="1:18" ht="13.5" customHeight="1" x14ac:dyDescent="0.3">
      <c r="A26" s="60"/>
      <c r="B26" s="61" t="s">
        <v>13</v>
      </c>
      <c r="C26" s="4" t="s">
        <v>12</v>
      </c>
      <c r="D26" s="4"/>
      <c r="E26" s="17">
        <v>524</v>
      </c>
      <c r="F26" s="113">
        <v>4949666</v>
      </c>
      <c r="G26" s="113">
        <v>4772213</v>
      </c>
      <c r="H26" s="113">
        <v>5009019</v>
      </c>
      <c r="I26" s="113">
        <v>5127850</v>
      </c>
      <c r="J26" s="113">
        <v>5931782</v>
      </c>
      <c r="K26" s="113">
        <v>5147346</v>
      </c>
      <c r="L26" s="113">
        <v>5493450</v>
      </c>
      <c r="M26" s="113">
        <v>5321603</v>
      </c>
      <c r="N26" s="113">
        <v>5216710</v>
      </c>
      <c r="O26" s="113">
        <v>5139091</v>
      </c>
      <c r="P26" s="113">
        <v>5064205</v>
      </c>
      <c r="Q26" s="113">
        <v>5872592</v>
      </c>
      <c r="R26" s="63">
        <f t="shared" si="4"/>
        <v>63045527</v>
      </c>
    </row>
    <row r="27" spans="1:18" ht="13.8" x14ac:dyDescent="0.3">
      <c r="A27" s="60"/>
      <c r="B27" s="61" t="s">
        <v>14</v>
      </c>
      <c r="C27" s="4" t="s">
        <v>50</v>
      </c>
      <c r="D27" s="4"/>
      <c r="E27" s="17">
        <v>525</v>
      </c>
      <c r="F27" s="113">
        <v>61143.03</v>
      </c>
      <c r="G27" s="113">
        <v>58950.67</v>
      </c>
      <c r="H27" s="113">
        <v>61876.3</v>
      </c>
      <c r="I27" s="113">
        <v>63343.89</v>
      </c>
      <c r="J27" s="113">
        <v>73274.77</v>
      </c>
      <c r="K27" s="113">
        <v>63585.34</v>
      </c>
      <c r="L27" s="113">
        <v>68261.69</v>
      </c>
      <c r="M27" s="113">
        <v>66126</v>
      </c>
      <c r="N27" s="113">
        <v>64823.91</v>
      </c>
      <c r="O27" s="113">
        <v>63858.42</v>
      </c>
      <c r="P27" s="113">
        <v>63508.66</v>
      </c>
      <c r="Q27" s="113">
        <v>74867.92</v>
      </c>
      <c r="R27" s="63">
        <f t="shared" si="4"/>
        <v>783620.60000000009</v>
      </c>
    </row>
    <row r="28" spans="1:18" ht="13.8" x14ac:dyDescent="0.3">
      <c r="A28" s="60"/>
      <c r="B28" s="61" t="s">
        <v>15</v>
      </c>
      <c r="C28" s="4" t="s">
        <v>54</v>
      </c>
      <c r="D28" s="4"/>
      <c r="E28" s="17">
        <v>527</v>
      </c>
      <c r="F28" s="113">
        <v>753952.88</v>
      </c>
      <c r="G28" s="113">
        <f>734602.58+11700</f>
        <v>746302.58</v>
      </c>
      <c r="H28" s="113">
        <v>1691274.77</v>
      </c>
      <c r="I28" s="113">
        <v>789599.74</v>
      </c>
      <c r="J28" s="113">
        <v>700550.7</v>
      </c>
      <c r="K28" s="113">
        <v>736412.93</v>
      </c>
      <c r="L28" s="113">
        <v>683211.86</v>
      </c>
      <c r="M28" s="113">
        <v>630872.13</v>
      </c>
      <c r="N28" s="113">
        <v>774179.45</v>
      </c>
      <c r="O28" s="113">
        <v>699951.28</v>
      </c>
      <c r="P28" s="113">
        <v>893050.14</v>
      </c>
      <c r="Q28" s="113">
        <v>489945.87</v>
      </c>
      <c r="R28" s="63">
        <f t="shared" si="4"/>
        <v>9589304.3300000001</v>
      </c>
    </row>
    <row r="29" spans="1:18" ht="13.8" x14ac:dyDescent="0.3">
      <c r="A29" s="60"/>
      <c r="B29" s="61" t="s">
        <v>16</v>
      </c>
      <c r="C29" s="4" t="s">
        <v>55</v>
      </c>
      <c r="D29" s="4"/>
      <c r="E29" s="17">
        <v>528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/>
      <c r="Q29" s="113"/>
      <c r="R29" s="63">
        <f t="shared" si="4"/>
        <v>0</v>
      </c>
    </row>
    <row r="30" spans="1:18" ht="13.8" x14ac:dyDescent="0.3">
      <c r="A30" s="60"/>
      <c r="B30" s="61" t="s">
        <v>78</v>
      </c>
      <c r="C30" s="4" t="s">
        <v>79</v>
      </c>
      <c r="D30" s="4"/>
      <c r="E30" s="17" t="s">
        <v>28</v>
      </c>
      <c r="F30" s="113">
        <v>17007.86</v>
      </c>
      <c r="G30" s="113">
        <v>8900</v>
      </c>
      <c r="H30" s="113">
        <v>5296</v>
      </c>
      <c r="I30" s="113">
        <v>6475</v>
      </c>
      <c r="J30" s="113">
        <v>6010.3</v>
      </c>
      <c r="K30" s="113">
        <v>1920</v>
      </c>
      <c r="L30" s="113">
        <v>2570</v>
      </c>
      <c r="M30" s="113">
        <v>2700</v>
      </c>
      <c r="N30" s="113">
        <v>1820</v>
      </c>
      <c r="O30" s="113">
        <v>3565</v>
      </c>
      <c r="P30" s="113">
        <v>2160</v>
      </c>
      <c r="Q30" s="113">
        <v>149956</v>
      </c>
      <c r="R30" s="63">
        <f t="shared" si="4"/>
        <v>208380.16</v>
      </c>
    </row>
    <row r="31" spans="1:18" ht="13.8" x14ac:dyDescent="0.3">
      <c r="A31" s="60"/>
      <c r="B31" s="61" t="s">
        <v>17</v>
      </c>
      <c r="C31" s="4" t="s">
        <v>51</v>
      </c>
      <c r="D31" s="4"/>
      <c r="E31" s="17">
        <v>544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/>
      <c r="Q31" s="137"/>
      <c r="R31" s="69">
        <f t="shared" si="4"/>
        <v>0</v>
      </c>
    </row>
    <row r="32" spans="1:18" ht="13.8" x14ac:dyDescent="0.3">
      <c r="A32" s="60"/>
      <c r="B32" s="61" t="s">
        <v>18</v>
      </c>
      <c r="C32" s="4" t="s">
        <v>26</v>
      </c>
      <c r="D32" s="4"/>
      <c r="E32" s="17" t="s">
        <v>110</v>
      </c>
      <c r="F32" s="113">
        <v>0</v>
      </c>
      <c r="G32" s="113">
        <v>0</v>
      </c>
      <c r="H32" s="113">
        <v>0</v>
      </c>
      <c r="I32" s="113">
        <v>0</v>
      </c>
      <c r="J32" s="113">
        <v>166.53</v>
      </c>
      <c r="K32" s="113">
        <v>0</v>
      </c>
      <c r="L32" s="113">
        <v>0</v>
      </c>
      <c r="M32" s="113">
        <v>98.62</v>
      </c>
      <c r="N32" s="113">
        <v>0</v>
      </c>
      <c r="O32" s="113">
        <v>77.8</v>
      </c>
      <c r="P32" s="113">
        <v>21667.72</v>
      </c>
      <c r="Q32" s="137"/>
      <c r="R32" s="69">
        <f t="shared" si="4"/>
        <v>22010.670000000002</v>
      </c>
    </row>
    <row r="33" spans="1:18" ht="13.8" x14ac:dyDescent="0.3">
      <c r="A33" s="60"/>
      <c r="B33" s="61" t="s">
        <v>19</v>
      </c>
      <c r="C33" s="4" t="s">
        <v>80</v>
      </c>
      <c r="D33" s="4"/>
      <c r="E33" s="17">
        <v>548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/>
      <c r="Q33" s="137"/>
      <c r="R33" s="69">
        <f t="shared" si="4"/>
        <v>0</v>
      </c>
    </row>
    <row r="34" spans="1:18" ht="13.8" x14ac:dyDescent="0.3">
      <c r="A34" s="60"/>
      <c r="B34" s="61" t="s">
        <v>25</v>
      </c>
      <c r="C34" s="4" t="s">
        <v>52</v>
      </c>
      <c r="D34" s="4"/>
      <c r="E34" s="17">
        <v>549</v>
      </c>
      <c r="F34" s="113">
        <v>3305.05</v>
      </c>
      <c r="G34" s="113">
        <v>11.07</v>
      </c>
      <c r="H34" s="113">
        <v>11209.27</v>
      </c>
      <c r="I34" s="113">
        <v>18.88</v>
      </c>
      <c r="J34" s="113">
        <v>15.42</v>
      </c>
      <c r="K34" s="113">
        <v>157.30000000000001</v>
      </c>
      <c r="L34" s="113">
        <v>6.3</v>
      </c>
      <c r="M34" s="113">
        <v>129.16</v>
      </c>
      <c r="N34" s="113">
        <v>7.5</v>
      </c>
      <c r="O34" s="113">
        <v>8.2100000000000009</v>
      </c>
      <c r="P34" s="113">
        <v>313.18</v>
      </c>
      <c r="Q34" s="113">
        <v>9.32</v>
      </c>
      <c r="R34" s="69">
        <f t="shared" si="4"/>
        <v>15190.659999999998</v>
      </c>
    </row>
    <row r="35" spans="1:18" ht="13.8" x14ac:dyDescent="0.3">
      <c r="A35" s="70"/>
      <c r="B35" s="61" t="s">
        <v>20</v>
      </c>
      <c r="C35" s="4" t="s">
        <v>53</v>
      </c>
      <c r="D35" s="4"/>
      <c r="E35" s="17">
        <v>551</v>
      </c>
      <c r="F35" s="113">
        <v>1100266</v>
      </c>
      <c r="G35" s="113">
        <v>1113991</v>
      </c>
      <c r="H35" s="113">
        <v>1113991</v>
      </c>
      <c r="I35" s="113">
        <v>1113991</v>
      </c>
      <c r="J35" s="113">
        <v>1137203</v>
      </c>
      <c r="K35" s="113">
        <v>1120699</v>
      </c>
      <c r="L35" s="113">
        <v>1120076</v>
      </c>
      <c r="M35" s="113">
        <v>1122391</v>
      </c>
      <c r="N35" s="113">
        <v>1189962</v>
      </c>
      <c r="O35" s="113">
        <v>1190458</v>
      </c>
      <c r="P35" s="113">
        <v>1203885</v>
      </c>
      <c r="Q35" s="113">
        <v>1215800</v>
      </c>
      <c r="R35" s="69">
        <f t="shared" si="4"/>
        <v>13742713</v>
      </c>
    </row>
    <row r="36" spans="1:18" ht="13.8" x14ac:dyDescent="0.3">
      <c r="A36" s="70"/>
      <c r="B36" s="61" t="s">
        <v>23</v>
      </c>
      <c r="C36" s="114" t="s">
        <v>81</v>
      </c>
      <c r="D36" s="4"/>
      <c r="E36" s="17">
        <v>557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/>
      <c r="Q36" s="113"/>
      <c r="R36" s="69">
        <f t="shared" si="4"/>
        <v>0</v>
      </c>
    </row>
    <row r="37" spans="1:18" ht="13.8" x14ac:dyDescent="0.3">
      <c r="A37" s="70"/>
      <c r="B37" s="61" t="s">
        <v>24</v>
      </c>
      <c r="C37" s="114" t="s">
        <v>82</v>
      </c>
      <c r="D37" s="4"/>
      <c r="E37" s="17">
        <v>558</v>
      </c>
      <c r="F37" s="113">
        <v>28843.02</v>
      </c>
      <c r="G37" s="113">
        <v>0</v>
      </c>
      <c r="H37" s="113">
        <v>43561.55</v>
      </c>
      <c r="I37" s="113">
        <v>233554.71</v>
      </c>
      <c r="J37" s="113">
        <v>516277.36</v>
      </c>
      <c r="K37" s="113">
        <v>230619.39</v>
      </c>
      <c r="L37" s="113">
        <v>97350.11</v>
      </c>
      <c r="M37" s="113">
        <v>147311.44</v>
      </c>
      <c r="N37" s="113">
        <v>222459.09</v>
      </c>
      <c r="O37" s="113">
        <v>25980.99</v>
      </c>
      <c r="P37" s="113">
        <v>183606.09</v>
      </c>
      <c r="Q37" s="113">
        <v>3407315.64</v>
      </c>
      <c r="R37" s="69">
        <f t="shared" si="4"/>
        <v>5136879.3900000006</v>
      </c>
    </row>
    <row r="38" spans="1:18" ht="13.8" x14ac:dyDescent="0.3">
      <c r="A38" s="70"/>
      <c r="B38" s="61" t="s">
        <v>25</v>
      </c>
      <c r="C38" s="138" t="s">
        <v>83</v>
      </c>
      <c r="D38" s="139"/>
      <c r="E38" s="140" t="s">
        <v>84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/>
      <c r="Q38" s="117">
        <f>3230+4645.4</f>
        <v>7875.4</v>
      </c>
      <c r="R38" s="63">
        <f t="shared" si="4"/>
        <v>7875.4</v>
      </c>
    </row>
    <row r="39" spans="1:18" ht="13.8" x14ac:dyDescent="0.3">
      <c r="A39" s="75" t="s">
        <v>85</v>
      </c>
      <c r="B39" s="61"/>
      <c r="C39" s="138"/>
      <c r="D39" s="139"/>
      <c r="E39" s="140"/>
      <c r="F39" s="76">
        <f>+F40+F41</f>
        <v>0</v>
      </c>
      <c r="G39" s="76">
        <f t="shared" ref="G39:L39" si="7">+G40+G41</f>
        <v>0</v>
      </c>
      <c r="H39" s="76">
        <f t="shared" si="7"/>
        <v>157.75</v>
      </c>
      <c r="I39" s="76">
        <f t="shared" si="7"/>
        <v>0</v>
      </c>
      <c r="J39" s="76">
        <f t="shared" si="7"/>
        <v>176.71</v>
      </c>
      <c r="K39" s="76">
        <f t="shared" si="7"/>
        <v>0</v>
      </c>
      <c r="L39" s="76">
        <f t="shared" si="7"/>
        <v>0</v>
      </c>
      <c r="M39" s="76">
        <f>+M40+M41</f>
        <v>1416.16</v>
      </c>
      <c r="N39" s="76">
        <f>+N40+N41</f>
        <v>541.39</v>
      </c>
      <c r="O39" s="76">
        <f>+O40+O41</f>
        <v>374.24</v>
      </c>
      <c r="P39" s="76">
        <f>+P40+P41</f>
        <v>0</v>
      </c>
      <c r="Q39" s="76">
        <f>+Q40+Q41</f>
        <v>0</v>
      </c>
      <c r="R39" s="26">
        <f t="shared" si="4"/>
        <v>2666.25</v>
      </c>
    </row>
    <row r="40" spans="1:18" ht="13.8" x14ac:dyDescent="0.3">
      <c r="A40" s="70"/>
      <c r="B40" s="61" t="s">
        <v>63</v>
      </c>
      <c r="C40" s="4" t="s">
        <v>86</v>
      </c>
      <c r="D40" s="4"/>
      <c r="E40" s="17">
        <v>562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1416.16</v>
      </c>
      <c r="N40" s="113">
        <v>541.39</v>
      </c>
      <c r="O40" s="113">
        <v>374.24</v>
      </c>
      <c r="P40" s="113"/>
      <c r="Q40" s="113"/>
      <c r="R40" s="63">
        <f t="shared" si="4"/>
        <v>2331.79</v>
      </c>
    </row>
    <row r="41" spans="1:18" ht="13.8" x14ac:dyDescent="0.3">
      <c r="A41" s="70"/>
      <c r="B41" s="77" t="s">
        <v>71</v>
      </c>
      <c r="C41" s="122" t="s">
        <v>122</v>
      </c>
      <c r="D41" s="141"/>
      <c r="E41" s="142">
        <v>563</v>
      </c>
      <c r="F41" s="143">
        <v>0</v>
      </c>
      <c r="G41" s="143">
        <v>0</v>
      </c>
      <c r="H41" s="143">
        <v>157.75</v>
      </c>
      <c r="I41" s="143">
        <v>0</v>
      </c>
      <c r="J41" s="143">
        <v>176.71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/>
      <c r="Q41" s="143"/>
      <c r="R41" s="63">
        <f t="shared" si="4"/>
        <v>334.46000000000004</v>
      </c>
    </row>
    <row r="42" spans="1:18" ht="13.8" x14ac:dyDescent="0.3">
      <c r="A42" s="75" t="s">
        <v>87</v>
      </c>
      <c r="B42" s="61"/>
      <c r="C42" s="138"/>
      <c r="D42" s="139"/>
      <c r="E42" s="140"/>
      <c r="F42" s="76">
        <f>+F43+F44</f>
        <v>0</v>
      </c>
      <c r="G42" s="76">
        <f t="shared" ref="G42:L42" si="8">+G43+G44</f>
        <v>0</v>
      </c>
      <c r="H42" s="76">
        <f t="shared" si="8"/>
        <v>0</v>
      </c>
      <c r="I42" s="76">
        <f t="shared" si="8"/>
        <v>0</v>
      </c>
      <c r="J42" s="76">
        <f t="shared" si="8"/>
        <v>0</v>
      </c>
      <c r="K42" s="76">
        <v>0</v>
      </c>
      <c r="L42" s="76">
        <f t="shared" si="8"/>
        <v>0</v>
      </c>
      <c r="M42" s="76">
        <f>+M43+M44</f>
        <v>0</v>
      </c>
      <c r="N42" s="76">
        <f>+N43+N44</f>
        <v>0</v>
      </c>
      <c r="O42" s="76">
        <f>+O43+O44</f>
        <v>0</v>
      </c>
      <c r="P42" s="76">
        <f>+P43+P44</f>
        <v>0</v>
      </c>
      <c r="Q42" s="76">
        <f>+Q43+Q44</f>
        <v>0</v>
      </c>
      <c r="R42" s="26">
        <f t="shared" si="4"/>
        <v>0</v>
      </c>
    </row>
    <row r="43" spans="1:18" ht="13.8" x14ac:dyDescent="0.3">
      <c r="A43" s="70"/>
      <c r="B43" s="61" t="s">
        <v>63</v>
      </c>
      <c r="C43" s="114" t="s">
        <v>21</v>
      </c>
      <c r="D43" s="4"/>
      <c r="E43" s="17">
        <v>591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/>
      <c r="Q43" s="113"/>
      <c r="R43" s="63">
        <f t="shared" si="4"/>
        <v>0</v>
      </c>
    </row>
    <row r="44" spans="1:18" ht="14.4" thickBot="1" x14ac:dyDescent="0.35">
      <c r="A44" s="70"/>
      <c r="B44" s="81" t="s">
        <v>68</v>
      </c>
      <c r="C44" s="122" t="s">
        <v>22</v>
      </c>
      <c r="D44" s="141"/>
      <c r="E44" s="142">
        <v>595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/>
      <c r="Q44" s="143"/>
      <c r="R44" s="63">
        <f t="shared" si="4"/>
        <v>0</v>
      </c>
    </row>
    <row r="45" spans="1:18" ht="15.75" customHeight="1" thickBot="1" x14ac:dyDescent="0.5">
      <c r="A45" s="47" t="s">
        <v>88</v>
      </c>
      <c r="B45" s="48"/>
      <c r="C45" s="83"/>
      <c r="D45" s="83"/>
      <c r="E45" s="84"/>
      <c r="F45" s="85">
        <f t="shared" ref="F45:Q45" si="9">+F46+F60+F63</f>
        <v>28567083.200000003</v>
      </c>
      <c r="G45" s="85">
        <f t="shared" si="9"/>
        <v>28959368.18</v>
      </c>
      <c r="H45" s="85">
        <f t="shared" si="9"/>
        <v>30876838.416000005</v>
      </c>
      <c r="I45" s="85">
        <f t="shared" si="9"/>
        <v>29038152.739999995</v>
      </c>
      <c r="J45" s="85">
        <f t="shared" si="9"/>
        <v>30630313.439999998</v>
      </c>
      <c r="K45" s="85">
        <f t="shared" si="9"/>
        <v>30163331.579999998</v>
      </c>
      <c r="L45" s="85">
        <f t="shared" si="9"/>
        <v>30465446.080000006</v>
      </c>
      <c r="M45" s="85">
        <f t="shared" si="9"/>
        <v>29777502.989999995</v>
      </c>
      <c r="N45" s="85">
        <f t="shared" si="9"/>
        <v>29461188.059999999</v>
      </c>
      <c r="O45" s="85">
        <f t="shared" si="9"/>
        <v>31017087.229999997</v>
      </c>
      <c r="P45" s="85">
        <f t="shared" si="9"/>
        <v>30328675.002000004</v>
      </c>
      <c r="Q45" s="85">
        <f t="shared" si="9"/>
        <v>27929075.98</v>
      </c>
      <c r="R45" s="86">
        <f t="shared" si="4"/>
        <v>357214062.898</v>
      </c>
    </row>
    <row r="46" spans="1:18" ht="15.75" customHeight="1" x14ac:dyDescent="0.25">
      <c r="A46" s="52" t="s">
        <v>89</v>
      </c>
      <c r="B46" s="144"/>
      <c r="C46" s="88"/>
      <c r="D46" s="5"/>
      <c r="E46" s="16"/>
      <c r="F46" s="55">
        <f t="shared" ref="F46:Q46" si="10">+SUM(F47:F59)</f>
        <v>24986945.920000002</v>
      </c>
      <c r="G46" s="55">
        <f t="shared" si="10"/>
        <v>24989959.650000002</v>
      </c>
      <c r="H46" s="55">
        <f t="shared" si="10"/>
        <v>27128220.950000003</v>
      </c>
      <c r="I46" s="55">
        <f t="shared" si="10"/>
        <v>25256478.719999995</v>
      </c>
      <c r="J46" s="55">
        <f t="shared" si="10"/>
        <v>26785310.050000001</v>
      </c>
      <c r="K46" s="55">
        <f t="shared" si="10"/>
        <v>26394074.029999997</v>
      </c>
      <c r="L46" s="55">
        <f t="shared" si="10"/>
        <v>26590902.670000006</v>
      </c>
      <c r="M46" s="55">
        <f t="shared" si="10"/>
        <v>25986609.799999997</v>
      </c>
      <c r="N46" s="55">
        <f t="shared" si="10"/>
        <v>25771430.27</v>
      </c>
      <c r="O46" s="55">
        <f t="shared" si="10"/>
        <v>27295743.349999998</v>
      </c>
      <c r="P46" s="55">
        <f t="shared" si="10"/>
        <v>25922195.610000003</v>
      </c>
      <c r="Q46" s="55">
        <f t="shared" si="10"/>
        <v>24032977.370000001</v>
      </c>
      <c r="R46" s="25">
        <f t="shared" si="4"/>
        <v>311140848.39000005</v>
      </c>
    </row>
    <row r="47" spans="1:18" ht="13.8" x14ac:dyDescent="0.3">
      <c r="A47" s="60"/>
      <c r="B47" s="135" t="s">
        <v>62</v>
      </c>
      <c r="C47" s="88" t="s">
        <v>56</v>
      </c>
      <c r="D47" s="5"/>
      <c r="E47" s="16">
        <v>601</v>
      </c>
      <c r="F47" s="145">
        <v>0</v>
      </c>
      <c r="G47" s="145">
        <v>2644.62</v>
      </c>
      <c r="H47" s="145">
        <v>6611.55</v>
      </c>
      <c r="I47" s="145">
        <v>0</v>
      </c>
      <c r="J47" s="145">
        <v>9256.17</v>
      </c>
      <c r="K47" s="145">
        <v>1322.31</v>
      </c>
      <c r="L47" s="145">
        <v>0</v>
      </c>
      <c r="M47" s="145">
        <v>7933.86</v>
      </c>
      <c r="N47" s="145">
        <v>5289.24</v>
      </c>
      <c r="O47" s="145">
        <v>2644.62</v>
      </c>
      <c r="P47" s="145">
        <v>6611.55</v>
      </c>
      <c r="Q47" s="136">
        <v>3966.93</v>
      </c>
      <c r="R47" s="58">
        <f t="shared" si="4"/>
        <v>46280.850000000006</v>
      </c>
    </row>
    <row r="48" spans="1:18" ht="13.8" x14ac:dyDescent="0.3">
      <c r="A48" s="60"/>
      <c r="B48" s="61" t="s">
        <v>63</v>
      </c>
      <c r="C48" s="88" t="s">
        <v>57</v>
      </c>
      <c r="D48" s="4"/>
      <c r="E48" s="17">
        <v>602</v>
      </c>
      <c r="F48" s="113">
        <v>24859141.780000001</v>
      </c>
      <c r="G48" s="113">
        <v>24806616.34</v>
      </c>
      <c r="H48" s="113">
        <v>26764640.920000002</v>
      </c>
      <c r="I48" s="113">
        <v>24840524.23</v>
      </c>
      <c r="J48" s="113">
        <v>26489693.579999998</v>
      </c>
      <c r="K48" s="113">
        <v>26225470.050000001</v>
      </c>
      <c r="L48" s="113">
        <v>26355712.18</v>
      </c>
      <c r="M48" s="113">
        <v>25741120.829999998</v>
      </c>
      <c r="N48" s="113">
        <v>25584618.300000001</v>
      </c>
      <c r="O48" s="113">
        <v>27034150.399999999</v>
      </c>
      <c r="P48" s="113">
        <v>25619218.800000001</v>
      </c>
      <c r="Q48" s="113">
        <v>23308996.120000001</v>
      </c>
      <c r="R48" s="63">
        <f t="shared" si="4"/>
        <v>307629903.53000003</v>
      </c>
    </row>
    <row r="49" spans="1:18" ht="13.8" x14ac:dyDescent="0.3">
      <c r="A49" s="60"/>
      <c r="B49" s="61" t="s">
        <v>68</v>
      </c>
      <c r="C49" s="88" t="s">
        <v>47</v>
      </c>
      <c r="D49" s="4"/>
      <c r="E49" s="17">
        <v>603</v>
      </c>
      <c r="F49" s="113">
        <v>60264.12</v>
      </c>
      <c r="G49" s="113">
        <v>60921.09</v>
      </c>
      <c r="H49" s="113">
        <v>68450.39</v>
      </c>
      <c r="I49" s="113">
        <v>61275.86</v>
      </c>
      <c r="J49" s="113">
        <v>60974.49</v>
      </c>
      <c r="K49" s="113">
        <v>72830.38</v>
      </c>
      <c r="L49" s="113">
        <v>60062.09</v>
      </c>
      <c r="M49" s="113">
        <v>61157.96</v>
      </c>
      <c r="N49" s="113">
        <v>68150.210000000006</v>
      </c>
      <c r="O49" s="113">
        <v>60696.800000000003</v>
      </c>
      <c r="P49" s="113">
        <v>61532.36</v>
      </c>
      <c r="Q49" s="113">
        <v>303394.86</v>
      </c>
      <c r="R49" s="63">
        <f t="shared" si="4"/>
        <v>999710.61</v>
      </c>
    </row>
    <row r="50" spans="1:18" ht="13.8" x14ac:dyDescent="0.3">
      <c r="A50" s="60"/>
      <c r="B50" s="61" t="s">
        <v>69</v>
      </c>
      <c r="C50" s="90" t="s">
        <v>90</v>
      </c>
      <c r="D50" s="91"/>
      <c r="E50" s="17">
        <v>604</v>
      </c>
      <c r="F50" s="113">
        <v>65241.29</v>
      </c>
      <c r="G50" s="113">
        <v>67706.17</v>
      </c>
      <c r="H50" s="113">
        <v>59593.29</v>
      </c>
      <c r="I50" s="113">
        <v>62183.22</v>
      </c>
      <c r="J50" s="113">
        <v>65305.48</v>
      </c>
      <c r="K50" s="113">
        <v>58226.71</v>
      </c>
      <c r="L50" s="113">
        <v>64993.87</v>
      </c>
      <c r="M50" s="113">
        <v>74233.97</v>
      </c>
      <c r="N50" s="113">
        <v>78306.679999999993</v>
      </c>
      <c r="O50" s="113">
        <v>83617.06</v>
      </c>
      <c r="P50" s="113">
        <v>79766.710000000006</v>
      </c>
      <c r="Q50" s="113">
        <v>57069.34</v>
      </c>
      <c r="R50" s="63">
        <f t="shared" si="4"/>
        <v>816243.78999999992</v>
      </c>
    </row>
    <row r="51" spans="1:18" ht="13.8" x14ac:dyDescent="0.3">
      <c r="A51" s="60"/>
      <c r="B51" s="61" t="s">
        <v>71</v>
      </c>
      <c r="C51" s="92" t="s">
        <v>91</v>
      </c>
      <c r="D51" s="91"/>
      <c r="E51" s="17">
        <v>609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/>
      <c r="Q51" s="113"/>
      <c r="R51" s="63">
        <f t="shared" si="4"/>
        <v>0</v>
      </c>
    </row>
    <row r="52" spans="1:18" ht="13.8" x14ac:dyDescent="0.3">
      <c r="A52" s="60"/>
      <c r="B52" s="61" t="s">
        <v>73</v>
      </c>
      <c r="C52" s="121" t="s">
        <v>92</v>
      </c>
      <c r="D52" s="91"/>
      <c r="E52" s="17">
        <v>641.64200000000005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3"/>
      <c r="Q52" s="113"/>
      <c r="R52" s="63">
        <f t="shared" si="4"/>
        <v>0</v>
      </c>
    </row>
    <row r="53" spans="1:18" ht="13.8" x14ac:dyDescent="0.3">
      <c r="A53" s="60"/>
      <c r="B53" s="61" t="s">
        <v>120</v>
      </c>
      <c r="C53" s="121" t="s">
        <v>119</v>
      </c>
      <c r="D53" s="91"/>
      <c r="E53" s="17">
        <v>643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/>
      <c r="Q53" s="113"/>
      <c r="R53" s="63">
        <f t="shared" si="4"/>
        <v>0</v>
      </c>
    </row>
    <row r="54" spans="1:18" ht="13.8" x14ac:dyDescent="0.3">
      <c r="A54" s="60"/>
      <c r="B54" s="61" t="s">
        <v>70</v>
      </c>
      <c r="C54" s="90" t="s">
        <v>93</v>
      </c>
      <c r="D54" s="91"/>
      <c r="E54" s="146">
        <v>644</v>
      </c>
      <c r="F54" s="113">
        <v>193</v>
      </c>
      <c r="G54" s="113">
        <v>8100.66</v>
      </c>
      <c r="H54" s="113">
        <v>0</v>
      </c>
      <c r="I54" s="113">
        <v>5500.31</v>
      </c>
      <c r="J54" s="113">
        <v>448</v>
      </c>
      <c r="K54" s="113">
        <v>505.79</v>
      </c>
      <c r="L54" s="113">
        <v>1801.42</v>
      </c>
      <c r="M54" s="113">
        <v>2472.6799999999998</v>
      </c>
      <c r="N54" s="113">
        <v>4937.16</v>
      </c>
      <c r="O54" s="113">
        <v>1210.29</v>
      </c>
      <c r="P54" s="113">
        <v>8623.1</v>
      </c>
      <c r="Q54" s="113">
        <v>1906.81</v>
      </c>
      <c r="R54" s="63">
        <f t="shared" si="4"/>
        <v>35699.22</v>
      </c>
    </row>
    <row r="55" spans="1:18" ht="13.8" x14ac:dyDescent="0.3">
      <c r="A55" s="60"/>
      <c r="B55" s="61" t="s">
        <v>72</v>
      </c>
      <c r="C55" s="88" t="s">
        <v>94</v>
      </c>
      <c r="D55" s="147"/>
      <c r="E55" s="148">
        <v>645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0</v>
      </c>
      <c r="M55" s="113">
        <v>0</v>
      </c>
      <c r="N55" s="113">
        <v>0</v>
      </c>
      <c r="O55" s="113">
        <v>0</v>
      </c>
      <c r="P55" s="113"/>
      <c r="Q55" s="113"/>
      <c r="R55" s="63">
        <f t="shared" si="4"/>
        <v>0</v>
      </c>
    </row>
    <row r="56" spans="1:18" ht="13.8" x14ac:dyDescent="0.3">
      <c r="A56" s="60"/>
      <c r="B56" s="61" t="s">
        <v>8</v>
      </c>
      <c r="C56" s="88" t="s">
        <v>95</v>
      </c>
      <c r="D56" s="4"/>
      <c r="E56" s="146">
        <v>646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/>
      <c r="Q56" s="113"/>
      <c r="R56" s="63">
        <f t="shared" si="4"/>
        <v>0</v>
      </c>
    </row>
    <row r="57" spans="1:18" ht="13.8" x14ac:dyDescent="0.3">
      <c r="A57" s="60"/>
      <c r="B57" s="61" t="s">
        <v>121</v>
      </c>
      <c r="C57" s="88" t="s">
        <v>96</v>
      </c>
      <c r="D57" s="147"/>
      <c r="E57" s="148">
        <v>647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/>
      <c r="Q57" s="113"/>
      <c r="R57" s="63">
        <f t="shared" si="4"/>
        <v>0</v>
      </c>
    </row>
    <row r="58" spans="1:18" ht="13.8" x14ac:dyDescent="0.3">
      <c r="A58" s="60"/>
      <c r="B58" s="61" t="s">
        <v>10</v>
      </c>
      <c r="C58" s="90" t="s">
        <v>48</v>
      </c>
      <c r="D58" s="4"/>
      <c r="E58" s="17">
        <v>648</v>
      </c>
      <c r="F58" s="113">
        <v>0</v>
      </c>
      <c r="G58" s="113">
        <v>42097.99</v>
      </c>
      <c r="H58" s="113">
        <v>168555.98</v>
      </c>
      <c r="I58" s="113">
        <v>284565.33</v>
      </c>
      <c r="J58" s="113">
        <v>155694.35</v>
      </c>
      <c r="K58" s="113">
        <v>4711.1499999999996</v>
      </c>
      <c r="L58" s="113">
        <v>68596.69</v>
      </c>
      <c r="M58" s="113">
        <v>89127.39</v>
      </c>
      <c r="N58" s="113">
        <v>0</v>
      </c>
      <c r="O58" s="113">
        <v>32819.5</v>
      </c>
      <c r="P58" s="113">
        <v>119441.72</v>
      </c>
      <c r="Q58" s="113">
        <v>286479.44</v>
      </c>
      <c r="R58" s="63">
        <f t="shared" si="4"/>
        <v>1252089.54</v>
      </c>
    </row>
    <row r="59" spans="1:18" ht="13.5" customHeight="1" x14ac:dyDescent="0.3">
      <c r="A59" s="60"/>
      <c r="B59" s="61" t="s">
        <v>11</v>
      </c>
      <c r="C59" s="90" t="s">
        <v>49</v>
      </c>
      <c r="D59" s="4"/>
      <c r="E59" s="17">
        <v>649</v>
      </c>
      <c r="F59" s="113">
        <v>2105.73</v>
      </c>
      <c r="G59" s="113">
        <v>1872.78</v>
      </c>
      <c r="H59" s="113">
        <v>60368.82</v>
      </c>
      <c r="I59" s="113">
        <v>2429.77</v>
      </c>
      <c r="J59" s="113">
        <v>3937.98</v>
      </c>
      <c r="K59" s="113">
        <v>31007.64</v>
      </c>
      <c r="L59" s="113">
        <v>39736.42</v>
      </c>
      <c r="M59" s="113">
        <v>10563.11</v>
      </c>
      <c r="N59" s="113">
        <v>30128.68</v>
      </c>
      <c r="O59" s="113">
        <v>80604.679999999993</v>
      </c>
      <c r="P59" s="113">
        <v>27001.37</v>
      </c>
      <c r="Q59" s="113">
        <v>71163.87</v>
      </c>
      <c r="R59" s="63">
        <f t="shared" si="4"/>
        <v>360920.85</v>
      </c>
    </row>
    <row r="60" spans="1:18" ht="13.5" customHeight="1" x14ac:dyDescent="0.3">
      <c r="A60" s="75" t="s">
        <v>97</v>
      </c>
      <c r="B60" s="61"/>
      <c r="C60" s="138"/>
      <c r="D60" s="139"/>
      <c r="E60" s="140"/>
      <c r="F60" s="76">
        <f>F61+F62</f>
        <v>268.95</v>
      </c>
      <c r="G60" s="76">
        <f t="shared" ref="G60:Q60" si="11">G61+G62</f>
        <v>281.2</v>
      </c>
      <c r="H60" s="76">
        <f t="shared" si="11"/>
        <v>408.55599999999998</v>
      </c>
      <c r="I60" s="76">
        <f t="shared" si="11"/>
        <v>313.69</v>
      </c>
      <c r="J60" s="76">
        <f t="shared" si="11"/>
        <v>431.06</v>
      </c>
      <c r="K60" s="76">
        <f t="shared" si="11"/>
        <v>388.87</v>
      </c>
      <c r="L60" s="76">
        <f t="shared" si="11"/>
        <v>315.67</v>
      </c>
      <c r="M60" s="76">
        <f t="shared" si="11"/>
        <v>299.86</v>
      </c>
      <c r="N60" s="76">
        <f t="shared" si="11"/>
        <v>265.83</v>
      </c>
      <c r="O60" s="76">
        <f t="shared" si="11"/>
        <v>302.54000000000002</v>
      </c>
      <c r="P60" s="76">
        <f t="shared" si="11"/>
        <v>421.53</v>
      </c>
      <c r="Q60" s="76">
        <f t="shared" si="11"/>
        <v>467.74</v>
      </c>
      <c r="R60" s="26">
        <f t="shared" si="4"/>
        <v>4165.4960000000001</v>
      </c>
    </row>
    <row r="61" spans="1:18" ht="13.8" x14ac:dyDescent="0.3">
      <c r="A61" s="60"/>
      <c r="B61" s="61" t="s">
        <v>62</v>
      </c>
      <c r="C61" s="90" t="s">
        <v>86</v>
      </c>
      <c r="D61" s="4"/>
      <c r="E61" s="17">
        <v>662</v>
      </c>
      <c r="F61" s="113">
        <v>268.95</v>
      </c>
      <c r="G61" s="113">
        <v>281.2</v>
      </c>
      <c r="H61" s="113">
        <v>408.55599999999998</v>
      </c>
      <c r="I61" s="113">
        <v>313.69</v>
      </c>
      <c r="J61" s="113">
        <v>431.06</v>
      </c>
      <c r="K61" s="113">
        <v>388.87</v>
      </c>
      <c r="L61" s="113">
        <v>315.67</v>
      </c>
      <c r="M61" s="113">
        <v>299.86</v>
      </c>
      <c r="N61" s="113">
        <v>265.83</v>
      </c>
      <c r="O61" s="113">
        <v>302.54000000000002</v>
      </c>
      <c r="P61" s="113">
        <v>421.53</v>
      </c>
      <c r="Q61" s="113">
        <v>467.74</v>
      </c>
      <c r="R61" s="63">
        <f t="shared" si="4"/>
        <v>4165.4960000000001</v>
      </c>
    </row>
    <row r="62" spans="1:18" ht="13.8" x14ac:dyDescent="0.3">
      <c r="A62" s="60"/>
      <c r="B62" s="61" t="s">
        <v>63</v>
      </c>
      <c r="C62" s="90" t="s">
        <v>98</v>
      </c>
      <c r="D62" s="4"/>
      <c r="E62" s="17">
        <v>669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/>
      <c r="Q62" s="113"/>
      <c r="R62" s="63">
        <f t="shared" si="4"/>
        <v>0</v>
      </c>
    </row>
    <row r="63" spans="1:18" ht="13.8" x14ac:dyDescent="0.3">
      <c r="A63" s="75" t="s">
        <v>99</v>
      </c>
      <c r="B63" s="61"/>
      <c r="C63" s="138"/>
      <c r="D63" s="139"/>
      <c r="E63" s="140"/>
      <c r="F63" s="76">
        <f>+F64+F67+F77</f>
        <v>3579868.33</v>
      </c>
      <c r="G63" s="76">
        <f t="shared" ref="G63:L63" si="12">+G64+G67+G77+G65</f>
        <v>3969127.33</v>
      </c>
      <c r="H63" s="76">
        <f t="shared" si="12"/>
        <v>3748208.91</v>
      </c>
      <c r="I63" s="76">
        <f t="shared" si="12"/>
        <v>3781360.33</v>
      </c>
      <c r="J63" s="76">
        <f>+J64+J67+J77+J65</f>
        <v>3844572.33</v>
      </c>
      <c r="K63" s="76">
        <f>+K64+K67+K77+K65+K66</f>
        <v>3768868.68</v>
      </c>
      <c r="L63" s="76">
        <f t="shared" si="12"/>
        <v>3874227.74</v>
      </c>
      <c r="M63" s="76">
        <f>+M64+M67+M77+M65+M66</f>
        <v>3790593.33</v>
      </c>
      <c r="N63" s="76">
        <f>+N64+N67+N77+N65+N66</f>
        <v>3689491.96</v>
      </c>
      <c r="O63" s="76">
        <f t="shared" ref="O63:P63" si="13">+O64+O67+O77+O65+O66</f>
        <v>3721041.34</v>
      </c>
      <c r="P63" s="76">
        <f t="shared" si="13"/>
        <v>4406057.8619999997</v>
      </c>
      <c r="Q63" s="76">
        <f>+Q64+Q67+Q77+Q65+Q66</f>
        <v>3895630.8699999996</v>
      </c>
      <c r="R63" s="26">
        <f>SUM(F63:Q63)</f>
        <v>46069049.012000002</v>
      </c>
    </row>
    <row r="64" spans="1:18" ht="13.8" x14ac:dyDescent="0.3">
      <c r="A64" s="60"/>
      <c r="B64" s="61" t="s">
        <v>62</v>
      </c>
      <c r="C64" s="118" t="s">
        <v>115</v>
      </c>
      <c r="D64" s="4"/>
      <c r="E64" s="17">
        <v>672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/>
      <c r="Q64" s="113"/>
      <c r="R64" s="63">
        <f t="shared" si="4"/>
        <v>0</v>
      </c>
    </row>
    <row r="65" spans="1:18" ht="13.8" x14ac:dyDescent="0.3">
      <c r="A65" s="60"/>
      <c r="B65" s="61"/>
      <c r="C65" s="118" t="s">
        <v>113</v>
      </c>
      <c r="D65" s="4"/>
      <c r="E65" s="17"/>
      <c r="F65" s="136">
        <v>0</v>
      </c>
      <c r="G65" s="113">
        <v>0</v>
      </c>
      <c r="H65" s="136">
        <v>0</v>
      </c>
      <c r="I65" s="136">
        <v>0</v>
      </c>
      <c r="J65" s="136">
        <v>0</v>
      </c>
      <c r="K65" s="136">
        <v>2057</v>
      </c>
      <c r="L65" s="136">
        <v>0</v>
      </c>
      <c r="M65" s="136">
        <v>0</v>
      </c>
      <c r="N65" s="136">
        <v>0</v>
      </c>
      <c r="O65" s="136">
        <v>0</v>
      </c>
      <c r="P65" s="136"/>
      <c r="Q65" s="136"/>
      <c r="R65" s="63">
        <f t="shared" si="4"/>
        <v>2057</v>
      </c>
    </row>
    <row r="66" spans="1:18" ht="13.8" x14ac:dyDescent="0.3">
      <c r="A66" s="60"/>
      <c r="B66" s="61"/>
      <c r="C66" s="118" t="s">
        <v>123</v>
      </c>
      <c r="D66" s="4"/>
      <c r="E66" s="17"/>
      <c r="F66" s="136">
        <v>0</v>
      </c>
      <c r="G66" s="136">
        <v>0</v>
      </c>
      <c r="H66" s="136">
        <v>0</v>
      </c>
      <c r="I66" s="136">
        <v>0</v>
      </c>
      <c r="J66" s="136">
        <v>0</v>
      </c>
      <c r="K66" s="136">
        <v>121</v>
      </c>
      <c r="L66" s="136">
        <v>0</v>
      </c>
      <c r="M66" s="136">
        <v>0</v>
      </c>
      <c r="N66" s="136">
        <v>0</v>
      </c>
      <c r="O66" s="136">
        <v>0</v>
      </c>
      <c r="P66" s="136"/>
      <c r="Q66" s="136"/>
      <c r="R66" s="63">
        <f>SUM(F66:Q66)</f>
        <v>121</v>
      </c>
    </row>
    <row r="67" spans="1:18" ht="13.8" x14ac:dyDescent="0.3">
      <c r="A67" s="60"/>
      <c r="B67" s="61" t="s">
        <v>63</v>
      </c>
      <c r="C67" s="118" t="s">
        <v>100</v>
      </c>
      <c r="D67" s="114"/>
      <c r="E67" s="146">
        <v>672</v>
      </c>
      <c r="F67" s="55">
        <f>+F68+F69+F72+F73+F76</f>
        <v>3358132.33</v>
      </c>
      <c r="G67" s="55">
        <f>+G68+G69+G72+G73+G76</f>
        <v>3747391.33</v>
      </c>
      <c r="H67" s="55">
        <f>+H68+H69+H72+H73+H76</f>
        <v>3526472.91</v>
      </c>
      <c r="I67" s="55">
        <f>+I68+I69+I72+I73+I76+I75</f>
        <v>3559624.33</v>
      </c>
      <c r="J67" s="55">
        <f>+J68+J69+J72+J73+J76+J75</f>
        <v>3622836.33</v>
      </c>
      <c r="K67" s="55">
        <f>+K68+K69+K72+K73+K76+K75</f>
        <v>3544954.68</v>
      </c>
      <c r="L67" s="55">
        <f>+L68+L69+L72+L73+L76+L75</f>
        <v>3652491.74</v>
      </c>
      <c r="M67" s="55">
        <f t="shared" ref="M67:O67" si="14">+M68+M69+M72+M73+M76+M75</f>
        <v>3568024.33</v>
      </c>
      <c r="N67" s="55">
        <f t="shared" si="14"/>
        <v>3412071.96</v>
      </c>
      <c r="O67" s="55">
        <f t="shared" si="14"/>
        <v>3443091.34</v>
      </c>
      <c r="P67" s="55">
        <f>+P68+P69+P72+P73+P76+P75+P74+P70+P71</f>
        <v>4128107.8620000002</v>
      </c>
      <c r="Q67" s="55">
        <f>+Q68+Q69+Q72+Q73+Q76+Q75+Q70+Q71+Q74</f>
        <v>3617680.8699999996</v>
      </c>
      <c r="R67" s="26">
        <f t="shared" si="4"/>
        <v>43180880.012000002</v>
      </c>
    </row>
    <row r="68" spans="1:18" ht="13.5" customHeight="1" x14ac:dyDescent="0.3">
      <c r="A68" s="60"/>
      <c r="B68" s="61"/>
      <c r="C68" s="90" t="s">
        <v>1</v>
      </c>
      <c r="D68" s="4" t="s">
        <v>58</v>
      </c>
      <c r="E68" s="148"/>
      <c r="F68" s="113">
        <v>2263583.33</v>
      </c>
      <c r="G68" s="113">
        <v>2263583.33</v>
      </c>
      <c r="H68" s="113">
        <v>2263583.33</v>
      </c>
      <c r="I68" s="113">
        <v>2263583.33</v>
      </c>
      <c r="J68" s="113">
        <v>2263583.33</v>
      </c>
      <c r="K68" s="113">
        <v>2263583.33</v>
      </c>
      <c r="L68" s="113">
        <v>2263583.33</v>
      </c>
      <c r="M68" s="113">
        <v>2263583.33</v>
      </c>
      <c r="N68" s="113">
        <v>2070583.34</v>
      </c>
      <c r="O68" s="113">
        <v>2070583.34</v>
      </c>
      <c r="P68" s="113">
        <v>2070583.34</v>
      </c>
      <c r="Q68" s="113">
        <v>2070583.34</v>
      </c>
      <c r="R68" s="63">
        <f t="shared" si="4"/>
        <v>26391000</v>
      </c>
    </row>
    <row r="69" spans="1:18" ht="13.5" customHeight="1" x14ac:dyDescent="0.3">
      <c r="A69" s="60"/>
      <c r="B69" s="98"/>
      <c r="C69" s="90"/>
      <c r="D69" s="4" t="s">
        <v>112</v>
      </c>
      <c r="E69" s="16"/>
      <c r="F69" s="136">
        <v>0</v>
      </c>
      <c r="G69" s="136">
        <v>0</v>
      </c>
      <c r="H69" s="136">
        <v>0</v>
      </c>
      <c r="I69" s="136">
        <v>0</v>
      </c>
      <c r="J69" s="136">
        <v>0</v>
      </c>
      <c r="K69" s="136">
        <v>11077.55</v>
      </c>
      <c r="L69" s="136">
        <v>86782.41</v>
      </c>
      <c r="M69" s="136">
        <v>0</v>
      </c>
      <c r="N69" s="136">
        <v>0</v>
      </c>
      <c r="O69" s="136">
        <v>0</v>
      </c>
      <c r="P69" s="136">
        <v>647683.00199999998</v>
      </c>
      <c r="Q69" s="136"/>
      <c r="R69" s="63">
        <f t="shared" si="4"/>
        <v>745542.96199999994</v>
      </c>
    </row>
    <row r="70" spans="1:18" ht="13.5" customHeight="1" x14ac:dyDescent="0.3">
      <c r="A70" s="60"/>
      <c r="B70" s="98"/>
      <c r="C70" s="90"/>
      <c r="D70" s="4" t="s">
        <v>116</v>
      </c>
      <c r="E70" s="16"/>
      <c r="F70" s="136">
        <v>0</v>
      </c>
      <c r="G70" s="136">
        <v>0</v>
      </c>
      <c r="H70" s="136">
        <v>0</v>
      </c>
      <c r="I70" s="136">
        <v>0</v>
      </c>
      <c r="J70" s="136">
        <v>0</v>
      </c>
      <c r="K70" s="136">
        <v>0</v>
      </c>
      <c r="L70" s="136">
        <v>0</v>
      </c>
      <c r="M70" s="136">
        <v>0</v>
      </c>
      <c r="N70" s="136">
        <v>0</v>
      </c>
      <c r="O70" s="136">
        <v>0</v>
      </c>
      <c r="P70" s="136"/>
      <c r="Q70" s="136"/>
      <c r="R70" s="63">
        <f t="shared" si="4"/>
        <v>0</v>
      </c>
    </row>
    <row r="71" spans="1:18" ht="13.5" customHeight="1" x14ac:dyDescent="0.3">
      <c r="A71" s="60"/>
      <c r="B71" s="98"/>
      <c r="C71" s="90"/>
      <c r="D71" s="114" t="s">
        <v>124</v>
      </c>
      <c r="E71" s="16"/>
      <c r="F71" s="136">
        <v>0</v>
      </c>
      <c r="G71" s="136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/>
      <c r="Q71" s="136">
        <v>83514.240000000005</v>
      </c>
      <c r="R71" s="63">
        <f t="shared" si="4"/>
        <v>83514.240000000005</v>
      </c>
    </row>
    <row r="72" spans="1:18" ht="13.8" x14ac:dyDescent="0.3">
      <c r="A72" s="60"/>
      <c r="B72" s="149"/>
      <c r="C72" s="90"/>
      <c r="D72" s="4" t="s">
        <v>114</v>
      </c>
      <c r="E72" s="17"/>
      <c r="F72" s="113">
        <v>0</v>
      </c>
      <c r="G72" s="113">
        <v>375534</v>
      </c>
      <c r="H72" s="113">
        <v>187767</v>
      </c>
      <c r="I72" s="113">
        <v>187767</v>
      </c>
      <c r="J72" s="113">
        <v>187767</v>
      </c>
      <c r="K72" s="113">
        <v>187767</v>
      </c>
      <c r="L72" s="113">
        <v>187767</v>
      </c>
      <c r="M72" s="113">
        <v>187767</v>
      </c>
      <c r="N72" s="113">
        <v>187767</v>
      </c>
      <c r="O72" s="113">
        <v>187767</v>
      </c>
      <c r="P72" s="113">
        <v>187767</v>
      </c>
      <c r="Q72" s="113">
        <v>187763</v>
      </c>
      <c r="R72" s="69">
        <f t="shared" si="4"/>
        <v>2253200</v>
      </c>
    </row>
    <row r="73" spans="1:18" ht="13.8" x14ac:dyDescent="0.3">
      <c r="A73" s="60"/>
      <c r="B73" s="149"/>
      <c r="C73" s="90"/>
      <c r="D73" s="22" t="s">
        <v>101</v>
      </c>
      <c r="E73" s="17"/>
      <c r="F73" s="113">
        <v>1094549</v>
      </c>
      <c r="G73" s="113">
        <v>1108274</v>
      </c>
      <c r="H73" s="113">
        <v>1075122.58</v>
      </c>
      <c r="I73" s="113">
        <v>1108274</v>
      </c>
      <c r="J73" s="113">
        <v>1131486</v>
      </c>
      <c r="K73" s="113">
        <v>1082213.6200000001</v>
      </c>
      <c r="L73" s="113">
        <v>1114359</v>
      </c>
      <c r="M73" s="113">
        <v>1116674</v>
      </c>
      <c r="N73" s="113">
        <v>1153721.6200000001</v>
      </c>
      <c r="O73" s="113">
        <v>1184741</v>
      </c>
      <c r="P73" s="113">
        <v>1198168</v>
      </c>
      <c r="Q73" s="113">
        <v>1176092.93</v>
      </c>
      <c r="R73" s="69">
        <f t="shared" si="4"/>
        <v>13543675.75</v>
      </c>
    </row>
    <row r="74" spans="1:18" ht="13.8" x14ac:dyDescent="0.3">
      <c r="A74" s="60"/>
      <c r="B74" s="149"/>
      <c r="C74" s="90"/>
      <c r="D74" s="123" t="s">
        <v>126</v>
      </c>
      <c r="E74" s="17"/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23906.52</v>
      </c>
      <c r="Q74" s="113">
        <v>99727.360000000001</v>
      </c>
      <c r="R74" s="69">
        <f t="shared" si="4"/>
        <v>123633.88</v>
      </c>
    </row>
    <row r="75" spans="1:18" ht="13.8" x14ac:dyDescent="0.3">
      <c r="A75" s="60"/>
      <c r="B75" s="149"/>
      <c r="C75" s="90"/>
      <c r="D75" s="123" t="s">
        <v>127</v>
      </c>
      <c r="E75" s="17"/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313.18</v>
      </c>
      <c r="L75" s="113">
        <v>0</v>
      </c>
      <c r="M75" s="113">
        <v>0</v>
      </c>
      <c r="N75" s="113">
        <v>0</v>
      </c>
      <c r="O75" s="113">
        <v>0</v>
      </c>
      <c r="P75" s="113"/>
      <c r="Q75" s="113"/>
      <c r="R75" s="69">
        <f t="shared" si="4"/>
        <v>313.18</v>
      </c>
    </row>
    <row r="76" spans="1:18" ht="13.8" x14ac:dyDescent="0.3">
      <c r="A76" s="60"/>
      <c r="B76" s="149"/>
      <c r="C76" s="90"/>
      <c r="D76" s="114" t="s">
        <v>102</v>
      </c>
      <c r="E76" s="17"/>
      <c r="F76" s="113">
        <v>0</v>
      </c>
      <c r="G76" s="113">
        <v>0</v>
      </c>
      <c r="H76" s="113">
        <v>0</v>
      </c>
      <c r="I76" s="113">
        <v>0</v>
      </c>
      <c r="J76" s="113">
        <v>40000</v>
      </c>
      <c r="K76" s="113">
        <v>0</v>
      </c>
      <c r="L76" s="113">
        <v>0</v>
      </c>
      <c r="M76" s="113">
        <v>0</v>
      </c>
      <c r="N76" s="113">
        <v>0</v>
      </c>
      <c r="O76" s="113">
        <v>0</v>
      </c>
      <c r="P76" s="113"/>
      <c r="Q76" s="113"/>
      <c r="R76" s="69">
        <f t="shared" si="4"/>
        <v>40000</v>
      </c>
    </row>
    <row r="77" spans="1:18" ht="14.4" thickBot="1" x14ac:dyDescent="0.35">
      <c r="A77" s="106"/>
      <c r="B77" s="111" t="s">
        <v>68</v>
      </c>
      <c r="C77" s="110" t="s">
        <v>106</v>
      </c>
      <c r="D77" s="150"/>
      <c r="E77" s="108">
        <v>672</v>
      </c>
      <c r="F77" s="151">
        <f>1457+125234.25+95044.75</f>
        <v>221736</v>
      </c>
      <c r="G77" s="151">
        <f>1457+125234.25+95044.75</f>
        <v>221736</v>
      </c>
      <c r="H77" s="151">
        <f>2433.6+837.47+124257.65+94207.28</f>
        <v>221736</v>
      </c>
      <c r="I77" s="151">
        <f>1457+125234.25+95044.75</f>
        <v>221736</v>
      </c>
      <c r="J77" s="151">
        <f>1457+125234.25+95044.75</f>
        <v>221736</v>
      </c>
      <c r="K77" s="151">
        <f>2401.56+934.26+124289.69+94110.49</f>
        <v>221736</v>
      </c>
      <c r="L77" s="151">
        <f>95044.75+125234.25+1457</f>
        <v>221736</v>
      </c>
      <c r="M77" s="151">
        <f>1457+126067.25+95044.75</f>
        <v>222569</v>
      </c>
      <c r="N77" s="151">
        <f>2405.92+997.43+179969.33+94047.32</f>
        <v>277420</v>
      </c>
      <c r="O77" s="151">
        <f>78233.69+198259.31+1457</f>
        <v>277950</v>
      </c>
      <c r="P77" s="151">
        <v>277950</v>
      </c>
      <c r="Q77" s="151">
        <f>145183.88+128608.53+1468.15+2689.44</f>
        <v>277950.00000000006</v>
      </c>
      <c r="R77" s="69">
        <f t="shared" si="4"/>
        <v>2885991</v>
      </c>
    </row>
    <row r="78" spans="1:18" ht="17.399999999999999" thickBot="1" x14ac:dyDescent="0.5">
      <c r="A78" s="100" t="s">
        <v>103</v>
      </c>
      <c r="B78" s="112" t="s">
        <v>62</v>
      </c>
      <c r="C78" s="48" t="s">
        <v>104</v>
      </c>
      <c r="D78" s="83"/>
      <c r="E78" s="84"/>
      <c r="F78" s="85">
        <f t="shared" ref="F78:L78" si="15">+F45-F9+F42</f>
        <v>1828850.2899999991</v>
      </c>
      <c r="G78" s="85">
        <f t="shared" si="15"/>
        <v>3302601.9999999925</v>
      </c>
      <c r="H78" s="85">
        <f t="shared" si="15"/>
        <v>2445140.2960000075</v>
      </c>
      <c r="I78" s="85">
        <f t="shared" si="15"/>
        <v>698616.33999999613</v>
      </c>
      <c r="J78" s="85">
        <f t="shared" si="15"/>
        <v>-867655.34000001103</v>
      </c>
      <c r="K78" s="85">
        <f t="shared" si="15"/>
        <v>2439585.0599999949</v>
      </c>
      <c r="L78" s="85">
        <f t="shared" si="15"/>
        <v>531553.28000000864</v>
      </c>
      <c r="M78" s="85">
        <f>+M45-M9+M42</f>
        <v>1464792.5899999924</v>
      </c>
      <c r="N78" s="85">
        <f>+N45-N9+N42</f>
        <v>802266.85999999568</v>
      </c>
      <c r="O78" s="85">
        <f t="shared" ref="O78:Q78" si="16">+O45-O9+O42</f>
        <v>2092477.9800000004</v>
      </c>
      <c r="P78" s="85">
        <f t="shared" si="16"/>
        <v>-787800.12799999863</v>
      </c>
      <c r="Q78" s="85">
        <f t="shared" si="16"/>
        <v>-10971786.709999997</v>
      </c>
      <c r="R78" s="86">
        <f t="shared" si="4"/>
        <v>2978642.5179999806</v>
      </c>
    </row>
    <row r="79" spans="1:18" ht="17.399999999999999" thickBot="1" x14ac:dyDescent="0.5">
      <c r="A79" s="101"/>
      <c r="B79" s="112" t="s">
        <v>63</v>
      </c>
      <c r="C79" s="48" t="s">
        <v>105</v>
      </c>
      <c r="D79" s="83"/>
      <c r="E79" s="84"/>
      <c r="F79" s="102">
        <f t="shared" ref="F79:L79" si="17">+F45-F9</f>
        <v>1828850.2899999991</v>
      </c>
      <c r="G79" s="102">
        <f t="shared" si="17"/>
        <v>3302601.9999999925</v>
      </c>
      <c r="H79" s="102">
        <f t="shared" si="17"/>
        <v>2445140.2960000075</v>
      </c>
      <c r="I79" s="102">
        <f t="shared" si="17"/>
        <v>698616.33999999613</v>
      </c>
      <c r="J79" s="102">
        <f t="shared" si="17"/>
        <v>-867655.34000001103</v>
      </c>
      <c r="K79" s="102">
        <f t="shared" si="17"/>
        <v>2439585.0599999949</v>
      </c>
      <c r="L79" s="102">
        <f t="shared" si="17"/>
        <v>531553.28000000864</v>
      </c>
      <c r="M79" s="102">
        <f>+M45-M9</f>
        <v>1464792.5899999924</v>
      </c>
      <c r="N79" s="102">
        <f t="shared" ref="N79:Q79" si="18">+N45-N9</f>
        <v>802266.85999999568</v>
      </c>
      <c r="O79" s="102">
        <f t="shared" si="18"/>
        <v>2092477.9800000004</v>
      </c>
      <c r="P79" s="102">
        <f t="shared" si="18"/>
        <v>-787800.12799999863</v>
      </c>
      <c r="Q79" s="102">
        <f t="shared" si="18"/>
        <v>-10971786.709999997</v>
      </c>
      <c r="R79" s="86">
        <f t="shared" si="4"/>
        <v>2978642.5179999806</v>
      </c>
    </row>
    <row r="80" spans="1:18" ht="14.4" thickTop="1" x14ac:dyDescent="0.3">
      <c r="A80" s="38"/>
      <c r="B80" s="168" t="s">
        <v>125</v>
      </c>
      <c r="C80" s="169"/>
      <c r="D80" s="170"/>
      <c r="E80" s="35"/>
      <c r="F80" s="41">
        <v>414.15320000000003</v>
      </c>
      <c r="G80" s="41">
        <v>411.04640000000001</v>
      </c>
      <c r="H80" s="41">
        <v>409.17869999999999</v>
      </c>
      <c r="I80" s="41">
        <v>407.47500000000002</v>
      </c>
      <c r="J80" s="41">
        <v>411.6524</v>
      </c>
      <c r="K80" s="41">
        <v>408.38330000000002</v>
      </c>
      <c r="L80" s="41">
        <v>417.27</v>
      </c>
      <c r="M80" s="41">
        <v>419.22899999999998</v>
      </c>
      <c r="N80" s="41">
        <v>420.88330000000002</v>
      </c>
      <c r="O80" s="41">
        <v>420.06319999999999</v>
      </c>
      <c r="P80" s="41">
        <v>418.50779999999997</v>
      </c>
      <c r="Q80" s="115">
        <v>417.84550000000002</v>
      </c>
      <c r="R80" s="124">
        <f>AVERAGE(F80:Q80)</f>
        <v>414.64065000000005</v>
      </c>
    </row>
    <row r="81" spans="1:18" ht="14.4" thickBot="1" x14ac:dyDescent="0.35">
      <c r="A81" s="39"/>
      <c r="B81" s="171" t="s">
        <v>45</v>
      </c>
      <c r="C81" s="172"/>
      <c r="D81" s="173"/>
      <c r="E81" s="18"/>
      <c r="F81" s="42">
        <v>34901.879999999997</v>
      </c>
      <c r="G81" s="42">
        <v>34038.410000000003</v>
      </c>
      <c r="H81" s="42">
        <v>35586.01</v>
      </c>
      <c r="I81" s="42">
        <v>36536.31</v>
      </c>
      <c r="J81" s="42">
        <v>41997.73</v>
      </c>
      <c r="K81" s="42">
        <v>36321.53</v>
      </c>
      <c r="L81" s="42">
        <v>38014.589999999997</v>
      </c>
      <c r="M81" s="42">
        <v>36844.949999999997</v>
      </c>
      <c r="N81" s="42">
        <v>36425.65</v>
      </c>
      <c r="O81" s="42">
        <v>35814.49</v>
      </c>
      <c r="P81" s="42">
        <v>35770.54</v>
      </c>
      <c r="Q81" s="42">
        <v>42212.36</v>
      </c>
      <c r="R81" s="43">
        <f>AVERAGE(F81:Q81)</f>
        <v>37038.70416666667</v>
      </c>
    </row>
    <row r="82" spans="1:18" ht="14.4" thickTop="1" x14ac:dyDescent="0.3">
      <c r="A82" s="40"/>
      <c r="B82" s="174" t="s">
        <v>43</v>
      </c>
      <c r="C82" s="169"/>
      <c r="D82" s="170"/>
      <c r="E82" s="28"/>
      <c r="F82" s="120">
        <v>21081518.780000001</v>
      </c>
      <c r="G82" s="29">
        <v>21587322.09</v>
      </c>
      <c r="H82" s="29">
        <v>26596026.890000001</v>
      </c>
      <c r="I82" s="29">
        <v>19869273.359999999</v>
      </c>
      <c r="J82" s="29">
        <v>20716488.859999999</v>
      </c>
      <c r="K82" s="29">
        <v>21222995.359999999</v>
      </c>
      <c r="L82" s="29">
        <v>20421721.5</v>
      </c>
      <c r="M82" s="29">
        <v>21315361.82</v>
      </c>
      <c r="N82" s="30">
        <v>19975926.210000001</v>
      </c>
      <c r="O82" s="29">
        <v>22583321.530000001</v>
      </c>
      <c r="P82" s="29">
        <v>12651316.720000001</v>
      </c>
      <c r="Q82" s="31">
        <v>15562080.521</v>
      </c>
      <c r="R82" s="36"/>
    </row>
    <row r="83" spans="1:18" ht="14.4" thickBot="1" x14ac:dyDescent="0.35">
      <c r="A83" s="39"/>
      <c r="B83" s="171" t="s">
        <v>44</v>
      </c>
      <c r="C83" s="172"/>
      <c r="D83" s="173"/>
      <c r="E83" s="18"/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4600</v>
      </c>
      <c r="L83" s="32">
        <v>0</v>
      </c>
      <c r="M83" s="32">
        <v>9390</v>
      </c>
      <c r="N83" s="33">
        <v>0</v>
      </c>
      <c r="O83" s="32">
        <v>0</v>
      </c>
      <c r="P83" s="32">
        <v>0</v>
      </c>
      <c r="Q83" s="34">
        <v>0</v>
      </c>
      <c r="R83" s="37"/>
    </row>
    <row r="84" spans="1:18" ht="14.4" thickTop="1" x14ac:dyDescent="0.3">
      <c r="A84" s="125"/>
      <c r="B84" s="126"/>
      <c r="C84" s="126"/>
      <c r="D84" s="126"/>
      <c r="E84" s="127"/>
      <c r="F84" s="128"/>
      <c r="G84" s="128"/>
      <c r="H84" s="128"/>
      <c r="I84" s="128"/>
      <c r="J84" s="128"/>
      <c r="K84" s="128"/>
      <c r="L84" s="128"/>
      <c r="M84" s="128"/>
      <c r="N84" s="129"/>
      <c r="O84" s="128"/>
      <c r="P84" s="128"/>
      <c r="Q84" s="130"/>
      <c r="R84" s="131"/>
    </row>
    <row r="85" spans="1:18" ht="17.25" customHeight="1" x14ac:dyDescent="0.25">
      <c r="A85" s="116" t="s">
        <v>46</v>
      </c>
      <c r="D85" s="153" t="s">
        <v>129</v>
      </c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</row>
    <row r="86" spans="1:18" ht="28.5" customHeight="1" x14ac:dyDescent="0.25">
      <c r="D86" s="154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</row>
    <row r="87" spans="1:18" ht="18" customHeight="1" x14ac:dyDescent="0.25"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</row>
    <row r="88" spans="1:18" ht="18" customHeight="1" x14ac:dyDescent="0.25"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</row>
    <row r="89" spans="1:18" x14ac:dyDescent="0.25">
      <c r="A89" s="2"/>
      <c r="C89" s="27" t="s">
        <v>107</v>
      </c>
      <c r="D89" s="103" t="s">
        <v>108</v>
      </c>
      <c r="G89" s="27" t="s">
        <v>42</v>
      </c>
      <c r="H89" s="104">
        <v>43857</v>
      </c>
    </row>
    <row r="90" spans="1:18" x14ac:dyDescent="0.25">
      <c r="B90" t="s">
        <v>117</v>
      </c>
    </row>
  </sheetData>
  <protectedRanges>
    <protectedRange sqref="F1 H1:N1" name="Oblast7"/>
    <protectedRange sqref="F80:Q84" name="Oblast6"/>
    <protectedRange sqref="D85:R85" name="Oblast9"/>
    <protectedRange sqref="D89" name="Oblast10"/>
    <protectedRange sqref="H89:J89" name="Oblast11"/>
  </protectedRanges>
  <mergeCells count="9">
    <mergeCell ref="D85:R85"/>
    <mergeCell ref="D86:R86"/>
    <mergeCell ref="D87:R87"/>
    <mergeCell ref="A5:D7"/>
    <mergeCell ref="E5:E7"/>
    <mergeCell ref="B80:D80"/>
    <mergeCell ref="B81:D81"/>
    <mergeCell ref="B82:D82"/>
    <mergeCell ref="B83:D8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workbookViewId="0">
      <selection activeCell="G25" sqref="G25"/>
    </sheetView>
  </sheetViews>
  <sheetFormatPr defaultRowHeight="13.2" x14ac:dyDescent="0.25"/>
  <cols>
    <col min="1" max="1" width="2.6640625" customWidth="1"/>
    <col min="2" max="2" width="4.5546875" customWidth="1"/>
    <col min="3" max="3" width="6.44140625" customWidth="1"/>
    <col min="4" max="4" width="52.109375" customWidth="1"/>
    <col min="5" max="5" width="9.33203125" customWidth="1"/>
    <col min="6" max="6" width="12.44140625" customWidth="1"/>
    <col min="7" max="7" width="11.6640625" customWidth="1"/>
    <col min="8" max="8" width="12.109375" customWidth="1"/>
    <col min="9" max="9" width="12.6640625" customWidth="1"/>
    <col min="10" max="10" width="12.109375" customWidth="1"/>
    <col min="11" max="11" width="12.44140625" customWidth="1"/>
    <col min="12" max="12" width="12.33203125" customWidth="1"/>
    <col min="13" max="13" width="11.6640625" customWidth="1"/>
    <col min="14" max="14" width="12.33203125" customWidth="1"/>
    <col min="15" max="15" width="11.5546875" customWidth="1"/>
    <col min="16" max="16" width="11.88671875" customWidth="1"/>
    <col min="17" max="17" width="11.5546875" customWidth="1"/>
    <col min="18" max="18" width="14.44140625" customWidth="1"/>
    <col min="21" max="21" width="17.109375" customWidth="1"/>
  </cols>
  <sheetData>
    <row r="1" spans="1:18" ht="18" customHeight="1" x14ac:dyDescent="0.5">
      <c r="A1" s="1" t="s">
        <v>29</v>
      </c>
      <c r="G1" s="105" t="s">
        <v>109</v>
      </c>
      <c r="P1" s="6"/>
      <c r="Q1" s="11"/>
    </row>
    <row r="2" spans="1:18" ht="5.25" customHeight="1" x14ac:dyDescent="0.25">
      <c r="A2" s="2"/>
    </row>
    <row r="3" spans="1:18" ht="19.5" customHeight="1" x14ac:dyDescent="0.5">
      <c r="A3" s="7" t="s">
        <v>132</v>
      </c>
      <c r="R3" s="19" t="s">
        <v>118</v>
      </c>
    </row>
    <row r="4" spans="1:18" ht="5.25" customHeight="1" thickBot="1" x14ac:dyDescent="0.3">
      <c r="O4" s="20"/>
      <c r="R4" s="3"/>
    </row>
    <row r="5" spans="1:18" ht="11.25" customHeight="1" thickTop="1" x14ac:dyDescent="0.25">
      <c r="A5" s="156" t="s">
        <v>59</v>
      </c>
      <c r="B5" s="157"/>
      <c r="C5" s="157"/>
      <c r="D5" s="158"/>
      <c r="E5" s="165" t="s">
        <v>27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9"/>
    </row>
    <row r="6" spans="1:18" ht="12.75" customHeight="1" x14ac:dyDescent="0.45">
      <c r="A6" s="159"/>
      <c r="B6" s="160"/>
      <c r="C6" s="160"/>
      <c r="D6" s="161"/>
      <c r="E6" s="166"/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37</v>
      </c>
      <c r="N6" s="10" t="s">
        <v>38</v>
      </c>
      <c r="O6" s="10" t="s">
        <v>39</v>
      </c>
      <c r="P6" s="10" t="s">
        <v>40</v>
      </c>
      <c r="Q6" s="10" t="s">
        <v>41</v>
      </c>
      <c r="R6" s="12" t="s">
        <v>0</v>
      </c>
    </row>
    <row r="7" spans="1:18" ht="10.5" customHeight="1" thickBot="1" x14ac:dyDescent="0.3">
      <c r="A7" s="162"/>
      <c r="B7" s="163"/>
      <c r="C7" s="163"/>
      <c r="D7" s="164"/>
      <c r="E7" s="16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4"/>
    </row>
    <row r="8" spans="1:18" ht="6.75" customHeight="1" thickBot="1" x14ac:dyDescent="0.3">
      <c r="A8" s="133"/>
      <c r="B8" s="13"/>
      <c r="C8" s="13"/>
      <c r="D8" s="13"/>
      <c r="E8" s="15"/>
      <c r="F8" s="134"/>
      <c r="G8" s="134"/>
      <c r="H8" s="134"/>
      <c r="I8" s="134"/>
      <c r="J8" s="134"/>
      <c r="K8" s="134"/>
      <c r="L8" s="134"/>
      <c r="M8" s="134"/>
      <c r="N8" s="46"/>
      <c r="O8" s="21"/>
      <c r="P8" s="21"/>
      <c r="Q8" s="46"/>
      <c r="R8" s="14"/>
    </row>
    <row r="9" spans="1:18" ht="16.5" customHeight="1" thickBot="1" x14ac:dyDescent="0.5">
      <c r="A9" s="47" t="s">
        <v>60</v>
      </c>
      <c r="B9" s="48"/>
      <c r="C9" s="48"/>
      <c r="D9" s="48"/>
      <c r="E9" s="49"/>
      <c r="F9" s="50">
        <f t="shared" ref="F9:L9" si="0">+F10+F39+F42</f>
        <v>27143957.329999991</v>
      </c>
      <c r="G9" s="50">
        <f t="shared" si="0"/>
        <v>26810568.249999985</v>
      </c>
      <c r="H9" s="50">
        <f t="shared" si="0"/>
        <v>28376896.890000001</v>
      </c>
      <c r="I9" s="50">
        <f t="shared" si="0"/>
        <v>28648899.019999988</v>
      </c>
      <c r="J9" s="50">
        <f t="shared" si="0"/>
        <v>28740812.639999993</v>
      </c>
      <c r="K9" s="50">
        <f t="shared" si="0"/>
        <v>31884718.849999994</v>
      </c>
      <c r="L9" s="50">
        <f t="shared" si="0"/>
        <v>33469875.220000006</v>
      </c>
      <c r="M9" s="50">
        <f>+M10+M39+M42</f>
        <v>29112905.729999997</v>
      </c>
      <c r="N9" s="50">
        <f t="shared" ref="N9:Q9" si="1">+N10+N39+N42</f>
        <v>32856979.599999994</v>
      </c>
      <c r="O9" s="50">
        <f>+O10+O39+O42</f>
        <v>61118995.070000008</v>
      </c>
      <c r="P9" s="50">
        <f>+P10+P39+P42</f>
        <v>33579251.139999993</v>
      </c>
      <c r="Q9" s="50">
        <f t="shared" si="1"/>
        <v>34120016.340000004</v>
      </c>
      <c r="R9" s="51">
        <f>SUM(F9:Q9)</f>
        <v>395863876.07999992</v>
      </c>
    </row>
    <row r="10" spans="1:18" ht="16.5" customHeight="1" x14ac:dyDescent="0.45">
      <c r="A10" s="52" t="s">
        <v>61</v>
      </c>
      <c r="B10" s="53"/>
      <c r="C10" s="53"/>
      <c r="D10" s="53"/>
      <c r="E10" s="54"/>
      <c r="F10" s="55">
        <f t="shared" ref="F10:L10" si="2">+SUM(F11:F38)-F13-F14-F21-F23-F24-F25</f>
        <v>27143957.329999991</v>
      </c>
      <c r="G10" s="55">
        <f t="shared" si="2"/>
        <v>26810568.249999985</v>
      </c>
      <c r="H10" s="55">
        <f t="shared" si="2"/>
        <v>28376896.890000001</v>
      </c>
      <c r="I10" s="55">
        <f t="shared" si="2"/>
        <v>28648899.019999988</v>
      </c>
      <c r="J10" s="55">
        <f t="shared" si="2"/>
        <v>28740812.639999993</v>
      </c>
      <c r="K10" s="55">
        <f t="shared" si="2"/>
        <v>31884718.849999994</v>
      </c>
      <c r="L10" s="55">
        <f t="shared" si="2"/>
        <v>33469875.220000006</v>
      </c>
      <c r="M10" s="55">
        <f>+SUM(M11:M38)-M13-M14-M21-M23-M24-M25</f>
        <v>29112905.729999997</v>
      </c>
      <c r="N10" s="55">
        <f t="shared" ref="N10:Q10" si="3">+SUM(N11:N38)-N13-N14-N21-N23-N24-N25</f>
        <v>32856979.599999994</v>
      </c>
      <c r="O10" s="55">
        <f t="shared" si="3"/>
        <v>61118995.070000008</v>
      </c>
      <c r="P10" s="55">
        <f>+SUM(P11:P38)-P13-P14-P21-P23-P24-P25</f>
        <v>33579251.139999993</v>
      </c>
      <c r="Q10" s="55">
        <f t="shared" si="3"/>
        <v>34120016.340000004</v>
      </c>
      <c r="R10" s="25">
        <f t="shared" ref="R10:R80" si="4">SUM(F10:Q10)</f>
        <v>395863876.07999992</v>
      </c>
    </row>
    <row r="11" spans="1:18" ht="13.5" customHeight="1" x14ac:dyDescent="0.3">
      <c r="A11" s="56"/>
      <c r="B11" s="135" t="s">
        <v>62</v>
      </c>
      <c r="C11" s="5" t="s">
        <v>2</v>
      </c>
      <c r="D11" s="5"/>
      <c r="E11" s="16">
        <v>501</v>
      </c>
      <c r="F11" s="136">
        <v>2434068.5499999998</v>
      </c>
      <c r="G11" s="136">
        <v>3272378.4</v>
      </c>
      <c r="H11" s="136">
        <v>3836528.86</v>
      </c>
      <c r="I11" s="136">
        <v>3912859.28</v>
      </c>
      <c r="J11" s="136">
        <v>3525293.82</v>
      </c>
      <c r="K11" s="136">
        <v>4033155.24</v>
      </c>
      <c r="L11" s="136">
        <v>4032689.6</v>
      </c>
      <c r="M11" s="136">
        <v>3462432.29</v>
      </c>
      <c r="N11" s="136">
        <v>4437949.3899999997</v>
      </c>
      <c r="O11" s="136">
        <v>4495734.53</v>
      </c>
      <c r="P11" s="136">
        <v>5267863.8099999996</v>
      </c>
      <c r="Q11" s="136">
        <v>4176991.44</v>
      </c>
      <c r="R11" s="58">
        <f t="shared" si="4"/>
        <v>46887945.210000001</v>
      </c>
    </row>
    <row r="12" spans="1:18" ht="13.8" x14ac:dyDescent="0.3">
      <c r="A12" s="60"/>
      <c r="B12" s="61" t="s">
        <v>63</v>
      </c>
      <c r="C12" s="4" t="s">
        <v>64</v>
      </c>
      <c r="D12" s="4"/>
      <c r="E12" s="17">
        <v>502</v>
      </c>
      <c r="F12" s="113">
        <v>1140810.3700000001</v>
      </c>
      <c r="G12" s="113">
        <v>1005276.84</v>
      </c>
      <c r="H12" s="113">
        <v>906154.46</v>
      </c>
      <c r="I12" s="113">
        <v>802664.34</v>
      </c>
      <c r="J12" s="113">
        <v>754625.19</v>
      </c>
      <c r="K12" s="113">
        <v>649905.29</v>
      </c>
      <c r="L12" s="113">
        <v>616660.82999999996</v>
      </c>
      <c r="M12" s="113">
        <v>594231.9</v>
      </c>
      <c r="N12" s="113">
        <v>649294.93999999994</v>
      </c>
      <c r="O12" s="113">
        <v>841467.46</v>
      </c>
      <c r="P12" s="113">
        <v>915328.71</v>
      </c>
      <c r="Q12" s="113">
        <v>1309407.3</v>
      </c>
      <c r="R12" s="63">
        <f t="shared" si="4"/>
        <v>10185827.630000001</v>
      </c>
    </row>
    <row r="13" spans="1:18" ht="13.8" x14ac:dyDescent="0.3">
      <c r="A13" s="60"/>
      <c r="B13" s="61"/>
      <c r="C13" s="64" t="s">
        <v>65</v>
      </c>
      <c r="D13" s="65" t="s">
        <v>66</v>
      </c>
      <c r="E13" s="17"/>
      <c r="F13" s="113">
        <f>350272.8+2031.22</f>
        <v>352304.01999999996</v>
      </c>
      <c r="G13" s="113">
        <f>23784.07+314880.2</f>
        <v>338664.27</v>
      </c>
      <c r="H13" s="113">
        <f>30884+272055.7</f>
        <v>302939.7</v>
      </c>
      <c r="I13" s="113">
        <f>1750.35+256021.72</f>
        <v>257772.07</v>
      </c>
      <c r="J13" s="113">
        <f>2440.95+279717.08</f>
        <v>282158.03000000003</v>
      </c>
      <c r="K13" s="113">
        <f>27798.91+259226.9</f>
        <v>287025.81</v>
      </c>
      <c r="L13" s="113">
        <f>1591.66+284199.05</f>
        <v>285790.70999999996</v>
      </c>
      <c r="M13" s="113">
        <v>288733.43</v>
      </c>
      <c r="N13" s="113">
        <f>30303.98+263821.02</f>
        <v>294125</v>
      </c>
      <c r="O13" s="113">
        <f>308705.08+2128</f>
        <v>310833.08</v>
      </c>
      <c r="P13" s="113">
        <f>2023.63+298516.75</f>
        <v>300540.38</v>
      </c>
      <c r="Q13" s="113">
        <f>144670.91+360751.85</f>
        <v>505422.76</v>
      </c>
      <c r="R13" s="63">
        <f t="shared" si="4"/>
        <v>3806309.2600000007</v>
      </c>
    </row>
    <row r="14" spans="1:18" ht="13.8" x14ac:dyDescent="0.3">
      <c r="A14" s="60"/>
      <c r="B14" s="61"/>
      <c r="C14" s="64"/>
      <c r="D14" s="65" t="s">
        <v>67</v>
      </c>
      <c r="E14" s="17"/>
      <c r="F14" s="113">
        <f>22485.31+725761.33</f>
        <v>748246.64</v>
      </c>
      <c r="G14" s="113">
        <f>589789.85+37870.61</f>
        <v>627660.46</v>
      </c>
      <c r="H14" s="113">
        <f>49352.9+513326.86</f>
        <v>562679.76</v>
      </c>
      <c r="I14" s="113">
        <f>17530.68+490542.88</f>
        <v>508073.56</v>
      </c>
      <c r="J14" s="113">
        <f>424075.25+14978.84</f>
        <v>439054.09</v>
      </c>
      <c r="K14" s="113">
        <f>267493.91+28769.94</f>
        <v>296263.84999999998</v>
      </c>
      <c r="L14" s="113">
        <f>7373.92+282903.13</f>
        <v>290277.05</v>
      </c>
      <c r="M14" s="113">
        <f>260702.47+7321.27</f>
        <v>268023.74</v>
      </c>
      <c r="N14" s="113">
        <f>284751.21+31077.42</f>
        <v>315828.63</v>
      </c>
      <c r="O14" s="113">
        <f>13859.17+477811.58</f>
        <v>491670.75</v>
      </c>
      <c r="P14" s="113">
        <f>560969.02+23646.29</f>
        <v>584615.31000000006</v>
      </c>
      <c r="Q14" s="113">
        <f>628357.95+30098.56</f>
        <v>658456.51</v>
      </c>
      <c r="R14" s="63">
        <f t="shared" si="4"/>
        <v>5790850.3499999996</v>
      </c>
    </row>
    <row r="15" spans="1:18" ht="13.8" x14ac:dyDescent="0.3">
      <c r="A15" s="60"/>
      <c r="B15" s="61" t="s">
        <v>68</v>
      </c>
      <c r="C15" s="114" t="s">
        <v>111</v>
      </c>
      <c r="D15" s="4"/>
      <c r="E15" s="17">
        <v>506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-7381.81</v>
      </c>
      <c r="R15" s="63">
        <f t="shared" si="4"/>
        <v>-7381.81</v>
      </c>
    </row>
    <row r="16" spans="1:18" ht="13.8" x14ac:dyDescent="0.3">
      <c r="A16" s="60"/>
      <c r="B16" s="61" t="s">
        <v>69</v>
      </c>
      <c r="C16" s="4" t="s">
        <v>3</v>
      </c>
      <c r="D16" s="4"/>
      <c r="E16" s="17">
        <v>504</v>
      </c>
      <c r="F16" s="113">
        <v>41529.230000000003</v>
      </c>
      <c r="G16" s="113">
        <v>46183.85</v>
      </c>
      <c r="H16" s="113">
        <v>57849.65</v>
      </c>
      <c r="I16" s="113">
        <v>49781.64</v>
      </c>
      <c r="J16" s="113">
        <v>45746.06</v>
      </c>
      <c r="K16" s="113">
        <v>35999.519999999997</v>
      </c>
      <c r="L16" s="113">
        <v>32377.17</v>
      </c>
      <c r="M16" s="113">
        <v>37089.11</v>
      </c>
      <c r="N16" s="113">
        <v>38534.120000000003</v>
      </c>
      <c r="O16" s="113">
        <v>32134.21</v>
      </c>
      <c r="P16" s="113">
        <v>27361.54</v>
      </c>
      <c r="Q16" s="113">
        <v>30412.87</v>
      </c>
      <c r="R16" s="63">
        <f t="shared" si="4"/>
        <v>474998.97</v>
      </c>
    </row>
    <row r="17" spans="1:18" ht="13.8" x14ac:dyDescent="0.3">
      <c r="A17" s="60"/>
      <c r="B17" s="61" t="s">
        <v>70</v>
      </c>
      <c r="C17" s="4" t="s">
        <v>4</v>
      </c>
      <c r="D17" s="4"/>
      <c r="E17" s="17">
        <v>511</v>
      </c>
      <c r="F17" s="113">
        <v>58561.07</v>
      </c>
      <c r="G17" s="113">
        <v>90131.35</v>
      </c>
      <c r="H17" s="113">
        <v>296106.09000000003</v>
      </c>
      <c r="I17" s="113">
        <v>65369.16</v>
      </c>
      <c r="J17" s="113">
        <v>193949.18</v>
      </c>
      <c r="K17" s="113">
        <v>108844.44</v>
      </c>
      <c r="L17" s="113">
        <v>200522.23</v>
      </c>
      <c r="M17" s="113">
        <v>175586.35</v>
      </c>
      <c r="N17" s="113">
        <v>145939.39000000001</v>
      </c>
      <c r="O17" s="113">
        <v>559199.49</v>
      </c>
      <c r="P17" s="113">
        <v>400958.67</v>
      </c>
      <c r="Q17" s="113">
        <v>542900.97</v>
      </c>
      <c r="R17" s="63">
        <f t="shared" si="4"/>
        <v>2838068.3900000006</v>
      </c>
    </row>
    <row r="18" spans="1:18" ht="13.5" customHeight="1" x14ac:dyDescent="0.3">
      <c r="A18" s="60"/>
      <c r="B18" s="61" t="s">
        <v>72</v>
      </c>
      <c r="C18" s="4" t="s">
        <v>5</v>
      </c>
      <c r="D18" s="4"/>
      <c r="E18" s="17">
        <v>512</v>
      </c>
      <c r="F18" s="113">
        <v>1317</v>
      </c>
      <c r="G18" s="113">
        <v>29442</v>
      </c>
      <c r="H18" s="113">
        <v>9285</v>
      </c>
      <c r="I18" s="113">
        <v>8673</v>
      </c>
      <c r="J18" s="113">
        <v>4009</v>
      </c>
      <c r="K18" s="113">
        <v>4387</v>
      </c>
      <c r="L18" s="113">
        <v>12797</v>
      </c>
      <c r="M18" s="113">
        <v>11126</v>
      </c>
      <c r="N18" s="113">
        <v>7108</v>
      </c>
      <c r="O18" s="113">
        <v>22440</v>
      </c>
      <c r="P18" s="113">
        <v>19199</v>
      </c>
      <c r="Q18" s="113">
        <v>16970</v>
      </c>
      <c r="R18" s="63">
        <f t="shared" si="4"/>
        <v>146753</v>
      </c>
    </row>
    <row r="19" spans="1:18" ht="13.8" x14ac:dyDescent="0.3">
      <c r="A19" s="60"/>
      <c r="B19" s="61" t="s">
        <v>8</v>
      </c>
      <c r="C19" s="4" t="s">
        <v>6</v>
      </c>
      <c r="D19" s="4"/>
      <c r="E19" s="17">
        <v>513</v>
      </c>
      <c r="F19" s="113">
        <v>92</v>
      </c>
      <c r="G19" s="113">
        <v>1619.5</v>
      </c>
      <c r="H19" s="113">
        <v>276</v>
      </c>
      <c r="I19" s="113">
        <v>517</v>
      </c>
      <c r="J19" s="113">
        <v>352</v>
      </c>
      <c r="K19" s="113">
        <v>586.54999999999995</v>
      </c>
      <c r="L19" s="113">
        <v>176</v>
      </c>
      <c r="M19" s="113">
        <v>612.20000000000005</v>
      </c>
      <c r="N19" s="113">
        <v>31769</v>
      </c>
      <c r="O19" s="113">
        <v>4834.6000000000004</v>
      </c>
      <c r="P19" s="113">
        <v>1803.4</v>
      </c>
      <c r="Q19" s="113">
        <v>2186.9</v>
      </c>
      <c r="R19" s="63">
        <f t="shared" si="4"/>
        <v>44825.15</v>
      </c>
    </row>
    <row r="20" spans="1:18" ht="13.8" x14ac:dyDescent="0.3">
      <c r="A20" s="60"/>
      <c r="B20" s="61" t="s">
        <v>10</v>
      </c>
      <c r="C20" s="4" t="s">
        <v>7</v>
      </c>
      <c r="D20" s="4"/>
      <c r="E20" s="17">
        <v>518</v>
      </c>
      <c r="F20" s="113">
        <v>1297113.5</v>
      </c>
      <c r="G20" s="113">
        <v>437620.39</v>
      </c>
      <c r="H20" s="113">
        <v>443066.56</v>
      </c>
      <c r="I20" s="113">
        <v>546438.77</v>
      </c>
      <c r="J20" s="113">
        <v>486681.5</v>
      </c>
      <c r="K20" s="113">
        <v>505234.01</v>
      </c>
      <c r="L20" s="113">
        <v>944641.44</v>
      </c>
      <c r="M20" s="113">
        <v>457699.32</v>
      </c>
      <c r="N20" s="113">
        <v>627647.81999999995</v>
      </c>
      <c r="O20" s="113">
        <v>684584.4</v>
      </c>
      <c r="P20" s="113">
        <v>575808.21</v>
      </c>
      <c r="Q20" s="113">
        <v>1401284.95</v>
      </c>
      <c r="R20" s="63">
        <f t="shared" si="4"/>
        <v>8407820.870000001</v>
      </c>
    </row>
    <row r="21" spans="1:18" ht="13.8" x14ac:dyDescent="0.3">
      <c r="A21" s="60"/>
      <c r="B21" s="61"/>
      <c r="C21" s="64" t="s">
        <v>65</v>
      </c>
      <c r="D21" s="65" t="s">
        <v>74</v>
      </c>
      <c r="E21" s="17"/>
      <c r="F21" s="113">
        <v>6273.72</v>
      </c>
      <c r="G21" s="113">
        <v>6210.77</v>
      </c>
      <c r="H21" s="113">
        <f>6990.63+68.8</f>
        <v>7059.43</v>
      </c>
      <c r="I21" s="113">
        <v>6489.17</v>
      </c>
      <c r="J21" s="113">
        <v>6562.85</v>
      </c>
      <c r="K21" s="113">
        <f>6353.24+21.57</f>
        <v>6374.8099999999995</v>
      </c>
      <c r="L21" s="113">
        <v>6455.45</v>
      </c>
      <c r="M21" s="113">
        <v>5979.24</v>
      </c>
      <c r="N21" s="113">
        <f>6418.17+110.46</f>
        <v>6528.63</v>
      </c>
      <c r="O21" s="113">
        <v>7610.71</v>
      </c>
      <c r="P21" s="113">
        <v>7262.49</v>
      </c>
      <c r="Q21" s="113">
        <f>7465.42-5.19</f>
        <v>7460.2300000000005</v>
      </c>
      <c r="R21" s="63">
        <f t="shared" si="4"/>
        <v>80267.5</v>
      </c>
    </row>
    <row r="22" spans="1:18" ht="13.8" x14ac:dyDescent="0.3">
      <c r="A22" s="60"/>
      <c r="B22" s="61" t="s">
        <v>11</v>
      </c>
      <c r="C22" s="4" t="s">
        <v>9</v>
      </c>
      <c r="D22" s="4"/>
      <c r="E22" s="17">
        <v>521</v>
      </c>
      <c r="F22" s="113">
        <f t="shared" ref="F22:L22" si="5">+F23+F24+F25</f>
        <v>15235012</v>
      </c>
      <c r="G22" s="113">
        <f t="shared" si="5"/>
        <v>15001815</v>
      </c>
      <c r="H22" s="113">
        <f t="shared" si="5"/>
        <v>14813336</v>
      </c>
      <c r="I22" s="113">
        <f t="shared" si="5"/>
        <v>15852310</v>
      </c>
      <c r="J22" s="113">
        <f t="shared" si="5"/>
        <v>16329589</v>
      </c>
      <c r="K22" s="113">
        <f t="shared" si="5"/>
        <v>18271621</v>
      </c>
      <c r="L22" s="113">
        <f t="shared" si="5"/>
        <v>19153054</v>
      </c>
      <c r="M22" s="113">
        <f>+M23+M24+M25</f>
        <v>16643884</v>
      </c>
      <c r="N22" s="113">
        <f t="shared" ref="N22:Q22" si="6">+N23+N24+N25</f>
        <v>18348217</v>
      </c>
      <c r="O22" s="113">
        <f t="shared" si="6"/>
        <v>38124572</v>
      </c>
      <c r="P22" s="113">
        <f>+P23+P24+P25</f>
        <v>17005565</v>
      </c>
      <c r="Q22" s="113">
        <f t="shared" si="6"/>
        <v>17547684</v>
      </c>
      <c r="R22" s="63">
        <f t="shared" si="4"/>
        <v>222326659</v>
      </c>
    </row>
    <row r="23" spans="1:18" ht="13.8" x14ac:dyDescent="0.3">
      <c r="A23" s="60"/>
      <c r="B23" s="67"/>
      <c r="C23" s="64" t="s">
        <v>65</v>
      </c>
      <c r="D23" s="64" t="s">
        <v>75</v>
      </c>
      <c r="E23" s="17"/>
      <c r="F23" s="113">
        <v>14785703</v>
      </c>
      <c r="G23" s="113">
        <v>14563834</v>
      </c>
      <c r="H23" s="113">
        <f>13653869+167607</f>
        <v>13821476</v>
      </c>
      <c r="I23" s="113">
        <v>15219796</v>
      </c>
      <c r="J23" s="113">
        <v>15842859</v>
      </c>
      <c r="K23" s="113">
        <f>162136.7+17557330.3</f>
        <v>17719467</v>
      </c>
      <c r="L23" s="113">
        <v>18242952</v>
      </c>
      <c r="M23" s="113">
        <v>15828400</v>
      </c>
      <c r="N23" s="113">
        <f>187634.83+17592181.17</f>
        <v>17779816</v>
      </c>
      <c r="O23" s="113">
        <v>36849125</v>
      </c>
      <c r="P23" s="113">
        <v>16206302</v>
      </c>
      <c r="Q23" s="113">
        <f>182405.79+16822164.21</f>
        <v>17004570</v>
      </c>
      <c r="R23" s="63">
        <f t="shared" si="4"/>
        <v>213864300</v>
      </c>
    </row>
    <row r="24" spans="1:18" ht="13.8" x14ac:dyDescent="0.3">
      <c r="A24" s="60"/>
      <c r="B24" s="67"/>
      <c r="C24" s="64"/>
      <c r="D24" s="64" t="s">
        <v>76</v>
      </c>
      <c r="E24" s="17"/>
      <c r="F24" s="113">
        <v>302803</v>
      </c>
      <c r="G24" s="113">
        <v>299339</v>
      </c>
      <c r="H24" s="113">
        <f>30402.17+392047.83</f>
        <v>422450</v>
      </c>
      <c r="I24" s="113">
        <v>522531</v>
      </c>
      <c r="J24" s="113">
        <v>414365</v>
      </c>
      <c r="K24" s="113">
        <f>15913.19+436293.81</f>
        <v>452207</v>
      </c>
      <c r="L24" s="113">
        <v>831274</v>
      </c>
      <c r="M24" s="113">
        <v>733832</v>
      </c>
      <c r="N24" s="113">
        <f>421478.66+28352.34</f>
        <v>449831</v>
      </c>
      <c r="O24" s="113">
        <v>449846</v>
      </c>
      <c r="P24" s="113">
        <v>439992</v>
      </c>
      <c r="Q24" s="113">
        <f>5833.88+337528.12</f>
        <v>343362</v>
      </c>
      <c r="R24" s="63">
        <f t="shared" si="4"/>
        <v>5661832</v>
      </c>
    </row>
    <row r="25" spans="1:18" ht="13.8" x14ac:dyDescent="0.3">
      <c r="A25" s="60"/>
      <c r="B25" s="67"/>
      <c r="C25" s="64"/>
      <c r="D25" s="64" t="s">
        <v>77</v>
      </c>
      <c r="E25" s="17"/>
      <c r="F25" s="113">
        <v>146506</v>
      </c>
      <c r="G25" s="113">
        <v>138642</v>
      </c>
      <c r="H25" s="113">
        <f>2184.19+567225.81</f>
        <v>569410</v>
      </c>
      <c r="I25" s="113">
        <v>109983</v>
      </c>
      <c r="J25" s="113">
        <v>72365</v>
      </c>
      <c r="K25" s="113">
        <f>826.97+99120.03</f>
        <v>99947</v>
      </c>
      <c r="L25" s="113">
        <v>78828</v>
      </c>
      <c r="M25" s="113">
        <v>81652</v>
      </c>
      <c r="N25" s="113">
        <f>167.03+118402.97</f>
        <v>118570</v>
      </c>
      <c r="O25" s="113">
        <v>825601</v>
      </c>
      <c r="P25" s="113">
        <v>359271</v>
      </c>
      <c r="Q25" s="113">
        <f>1509.87+198242.13</f>
        <v>199752</v>
      </c>
      <c r="R25" s="63">
        <f t="shared" si="4"/>
        <v>2800527</v>
      </c>
    </row>
    <row r="26" spans="1:18" ht="13.5" customHeight="1" x14ac:dyDescent="0.3">
      <c r="A26" s="60"/>
      <c r="B26" s="61" t="s">
        <v>13</v>
      </c>
      <c r="C26" s="4" t="s">
        <v>12</v>
      </c>
      <c r="D26" s="4"/>
      <c r="E26" s="17">
        <v>524</v>
      </c>
      <c r="F26" s="113">
        <v>5060663</v>
      </c>
      <c r="G26" s="113">
        <v>4974552</v>
      </c>
      <c r="H26" s="113">
        <v>4753401</v>
      </c>
      <c r="I26" s="113">
        <v>5256351</v>
      </c>
      <c r="J26" s="113">
        <v>5454334</v>
      </c>
      <c r="K26" s="113">
        <v>6088096</v>
      </c>
      <c r="L26" s="113">
        <v>6406677</v>
      </c>
      <c r="M26" s="113">
        <f>4074603.84+1478675</f>
        <v>5553278.8399999999</v>
      </c>
      <c r="N26" s="113">
        <v>6132300</v>
      </c>
      <c r="O26" s="113">
        <v>12520956</v>
      </c>
      <c r="P26" s="113">
        <v>5514915</v>
      </c>
      <c r="Q26" s="113">
        <v>5603518</v>
      </c>
      <c r="R26" s="63">
        <f t="shared" si="4"/>
        <v>73319041.840000004</v>
      </c>
    </row>
    <row r="27" spans="1:18" ht="13.8" x14ac:dyDescent="0.3">
      <c r="A27" s="60"/>
      <c r="B27" s="61" t="s">
        <v>14</v>
      </c>
      <c r="C27" s="4" t="s">
        <v>50</v>
      </c>
      <c r="D27" s="4"/>
      <c r="E27" s="17">
        <v>525</v>
      </c>
      <c r="F27" s="113">
        <v>62883.87</v>
      </c>
      <c r="G27" s="113">
        <v>61813.79</v>
      </c>
      <c r="H27" s="113">
        <v>59066.34</v>
      </c>
      <c r="I27" s="113">
        <v>65315.66</v>
      </c>
      <c r="J27" s="113">
        <v>67775.7</v>
      </c>
      <c r="K27" s="113">
        <v>75651.64</v>
      </c>
      <c r="L27" s="113">
        <v>79609.52</v>
      </c>
      <c r="M27" s="113">
        <v>69005.27</v>
      </c>
      <c r="N27" s="113">
        <v>76200.210000000006</v>
      </c>
      <c r="O27" s="113">
        <v>156006.57999999999</v>
      </c>
      <c r="P27" s="113">
        <v>69515.13</v>
      </c>
      <c r="Q27" s="113">
        <v>72602.289999999994</v>
      </c>
      <c r="R27" s="63">
        <f t="shared" si="4"/>
        <v>915446</v>
      </c>
    </row>
    <row r="28" spans="1:18" ht="13.8" x14ac:dyDescent="0.3">
      <c r="A28" s="60"/>
      <c r="B28" s="61" t="s">
        <v>15</v>
      </c>
      <c r="C28" s="4" t="s">
        <v>54</v>
      </c>
      <c r="D28" s="4"/>
      <c r="E28" s="17">
        <v>527</v>
      </c>
      <c r="F28" s="113">
        <v>592417.15</v>
      </c>
      <c r="G28" s="113">
        <v>662095.86</v>
      </c>
      <c r="H28" s="113">
        <v>1917762.55</v>
      </c>
      <c r="I28" s="113">
        <v>833893.5</v>
      </c>
      <c r="J28" s="113">
        <v>640174.26</v>
      </c>
      <c r="K28" s="113">
        <v>757006.88</v>
      </c>
      <c r="L28" s="113">
        <v>726043.59</v>
      </c>
      <c r="M28" s="113">
        <v>829639.01</v>
      </c>
      <c r="N28" s="113">
        <v>1038012.87</v>
      </c>
      <c r="O28" s="113">
        <v>1966671.25</v>
      </c>
      <c r="P28" s="113">
        <v>1140401.42</v>
      </c>
      <c r="Q28" s="113">
        <v>978859.97</v>
      </c>
      <c r="R28" s="63">
        <f t="shared" si="4"/>
        <v>12082978.310000001</v>
      </c>
    </row>
    <row r="29" spans="1:18" ht="13.8" x14ac:dyDescent="0.3">
      <c r="A29" s="60"/>
      <c r="B29" s="61" t="s">
        <v>16</v>
      </c>
      <c r="C29" s="4" t="s">
        <v>55</v>
      </c>
      <c r="D29" s="4"/>
      <c r="E29" s="17">
        <v>528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63">
        <f t="shared" si="4"/>
        <v>0</v>
      </c>
    </row>
    <row r="30" spans="1:18" ht="13.8" x14ac:dyDescent="0.3">
      <c r="A30" s="60"/>
      <c r="B30" s="61" t="s">
        <v>78</v>
      </c>
      <c r="C30" s="4" t="s">
        <v>79</v>
      </c>
      <c r="D30" s="4"/>
      <c r="E30" s="17" t="s">
        <v>28</v>
      </c>
      <c r="F30" s="113">
        <v>8897.51</v>
      </c>
      <c r="G30" s="113">
        <v>1720</v>
      </c>
      <c r="H30" s="113">
        <v>1470</v>
      </c>
      <c r="I30" s="113">
        <v>6015</v>
      </c>
      <c r="J30" s="113">
        <v>5810.3</v>
      </c>
      <c r="K30" s="113">
        <v>1730</v>
      </c>
      <c r="L30" s="113">
        <v>5310.85</v>
      </c>
      <c r="M30" s="113">
        <v>2190</v>
      </c>
      <c r="N30" s="113">
        <v>1920</v>
      </c>
      <c r="O30" s="113">
        <v>1800</v>
      </c>
      <c r="P30" s="113">
        <v>1390</v>
      </c>
      <c r="Q30" s="113">
        <f>21361+116106</f>
        <v>137467</v>
      </c>
      <c r="R30" s="63">
        <f t="shared" si="4"/>
        <v>175720.66</v>
      </c>
    </row>
    <row r="31" spans="1:18" ht="13.8" x14ac:dyDescent="0.3">
      <c r="A31" s="60"/>
      <c r="B31" s="61" t="s">
        <v>17</v>
      </c>
      <c r="C31" s="4" t="s">
        <v>51</v>
      </c>
      <c r="D31" s="4"/>
      <c r="E31" s="17">
        <v>544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Q31" s="137">
        <v>0</v>
      </c>
      <c r="R31" s="69">
        <f t="shared" si="4"/>
        <v>0</v>
      </c>
    </row>
    <row r="32" spans="1:18" ht="13.8" x14ac:dyDescent="0.3">
      <c r="A32" s="60"/>
      <c r="B32" s="61" t="s">
        <v>18</v>
      </c>
      <c r="C32" s="4" t="s">
        <v>26</v>
      </c>
      <c r="D32" s="4"/>
      <c r="E32" s="17" t="s">
        <v>110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67.8</v>
      </c>
      <c r="M32" s="113">
        <v>0</v>
      </c>
      <c r="N32" s="113">
        <v>0</v>
      </c>
      <c r="O32" s="113">
        <v>0</v>
      </c>
      <c r="P32" s="113">
        <v>0</v>
      </c>
      <c r="Q32" s="137">
        <v>0</v>
      </c>
      <c r="R32" s="69">
        <f t="shared" si="4"/>
        <v>67.8</v>
      </c>
    </row>
    <row r="33" spans="1:18" ht="13.8" x14ac:dyDescent="0.3">
      <c r="A33" s="60"/>
      <c r="B33" s="61" t="s">
        <v>19</v>
      </c>
      <c r="C33" s="4" t="s">
        <v>80</v>
      </c>
      <c r="D33" s="4"/>
      <c r="E33" s="17">
        <v>548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37">
        <v>0</v>
      </c>
      <c r="R33" s="69">
        <f t="shared" si="4"/>
        <v>0</v>
      </c>
    </row>
    <row r="34" spans="1:18" ht="13.8" x14ac:dyDescent="0.3">
      <c r="A34" s="60"/>
      <c r="B34" s="61" t="s">
        <v>25</v>
      </c>
      <c r="C34" s="4" t="s">
        <v>52</v>
      </c>
      <c r="D34" s="4"/>
      <c r="E34" s="17">
        <v>549</v>
      </c>
      <c r="F34" s="113">
        <v>0.08</v>
      </c>
      <c r="G34" s="113">
        <v>3228.29</v>
      </c>
      <c r="H34" s="113">
        <v>236.99</v>
      </c>
      <c r="I34" s="113">
        <v>11001.87</v>
      </c>
      <c r="J34" s="113">
        <v>5.63</v>
      </c>
      <c r="K34" s="113">
        <v>266.81</v>
      </c>
      <c r="L34" s="113">
        <v>5.75</v>
      </c>
      <c r="M34" s="113">
        <v>213.3</v>
      </c>
      <c r="N34" s="113">
        <v>5.83</v>
      </c>
      <c r="O34" s="113">
        <v>18.309999999999999</v>
      </c>
      <c r="P34" s="113">
        <v>8.32</v>
      </c>
      <c r="Q34" s="113">
        <v>355.18</v>
      </c>
      <c r="R34" s="69">
        <f t="shared" si="4"/>
        <v>15346.359999999997</v>
      </c>
    </row>
    <row r="35" spans="1:18" ht="13.8" x14ac:dyDescent="0.3">
      <c r="A35" s="70"/>
      <c r="B35" s="61" t="s">
        <v>20</v>
      </c>
      <c r="C35" s="4" t="s">
        <v>53</v>
      </c>
      <c r="D35" s="4"/>
      <c r="E35" s="17">
        <v>551</v>
      </c>
      <c r="F35" s="113">
        <v>1210592</v>
      </c>
      <c r="G35" s="113">
        <v>1210590.98</v>
      </c>
      <c r="H35" s="113">
        <v>1210574</v>
      </c>
      <c r="I35" s="113">
        <v>1211234</v>
      </c>
      <c r="J35" s="113">
        <v>1232467</v>
      </c>
      <c r="K35" s="113">
        <v>1234047</v>
      </c>
      <c r="L35" s="113">
        <v>1244815</v>
      </c>
      <c r="M35" s="113">
        <v>1252361</v>
      </c>
      <c r="N35" s="113">
        <v>1254838</v>
      </c>
      <c r="O35" s="113">
        <v>1252814</v>
      </c>
      <c r="P35" s="113">
        <v>1261227</v>
      </c>
      <c r="Q35" s="113">
        <v>1252847</v>
      </c>
      <c r="R35" s="69">
        <f t="shared" si="4"/>
        <v>14828406.98</v>
      </c>
    </row>
    <row r="36" spans="1:18" ht="13.8" x14ac:dyDescent="0.3">
      <c r="A36" s="70"/>
      <c r="B36" s="61" t="s">
        <v>23</v>
      </c>
      <c r="C36" s="114" t="s">
        <v>81</v>
      </c>
      <c r="D36" s="4"/>
      <c r="E36" s="17">
        <v>557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2986</v>
      </c>
      <c r="R36" s="69">
        <f t="shared" si="4"/>
        <v>2986</v>
      </c>
    </row>
    <row r="37" spans="1:18" ht="13.8" x14ac:dyDescent="0.3">
      <c r="A37" s="70"/>
      <c r="B37" s="61" t="s">
        <v>24</v>
      </c>
      <c r="C37" s="114" t="s">
        <v>82</v>
      </c>
      <c r="D37" s="4"/>
      <c r="E37" s="17">
        <v>558</v>
      </c>
      <c r="F37" s="113">
        <v>0</v>
      </c>
      <c r="G37" s="113">
        <v>12100</v>
      </c>
      <c r="H37" s="113">
        <v>71783.39</v>
      </c>
      <c r="I37" s="113">
        <v>26474.799999999999</v>
      </c>
      <c r="J37" s="113">
        <v>0</v>
      </c>
      <c r="K37" s="113">
        <v>118187.47</v>
      </c>
      <c r="L37" s="113">
        <v>14427.44</v>
      </c>
      <c r="M37" s="113">
        <v>23557.14</v>
      </c>
      <c r="N37" s="113">
        <v>67243.03</v>
      </c>
      <c r="O37" s="113">
        <v>455762.24</v>
      </c>
      <c r="P37" s="113">
        <v>1377905.93</v>
      </c>
      <c r="Q37" s="113">
        <v>1046913.48</v>
      </c>
      <c r="R37" s="69">
        <f t="shared" si="4"/>
        <v>3214354.92</v>
      </c>
    </row>
    <row r="38" spans="1:18" ht="13.8" x14ac:dyDescent="0.3">
      <c r="A38" s="70"/>
      <c r="B38" s="61" t="s">
        <v>25</v>
      </c>
      <c r="C38" s="138" t="s">
        <v>83</v>
      </c>
      <c r="D38" s="139"/>
      <c r="E38" s="140" t="s">
        <v>84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f>3230+780.8</f>
        <v>4010.8</v>
      </c>
      <c r="R38" s="63">
        <f t="shared" si="4"/>
        <v>4010.8</v>
      </c>
    </row>
    <row r="39" spans="1:18" ht="13.8" x14ac:dyDescent="0.3">
      <c r="A39" s="75" t="s">
        <v>85</v>
      </c>
      <c r="B39" s="61"/>
      <c r="C39" s="138"/>
      <c r="D39" s="139"/>
      <c r="E39" s="140"/>
      <c r="F39" s="76">
        <f>+F40+F41</f>
        <v>0</v>
      </c>
      <c r="G39" s="76">
        <f t="shared" ref="G39:L39" si="7">+G40+G41</f>
        <v>0</v>
      </c>
      <c r="H39" s="76">
        <f t="shared" si="7"/>
        <v>0</v>
      </c>
      <c r="I39" s="76">
        <f t="shared" si="7"/>
        <v>0</v>
      </c>
      <c r="J39" s="76">
        <f t="shared" si="7"/>
        <v>0</v>
      </c>
      <c r="K39" s="76">
        <f t="shared" si="7"/>
        <v>0</v>
      </c>
      <c r="L39" s="76">
        <f t="shared" si="7"/>
        <v>0</v>
      </c>
      <c r="M39" s="76">
        <f>+M40+M41</f>
        <v>0</v>
      </c>
      <c r="N39" s="76">
        <f>+N40+N41</f>
        <v>0</v>
      </c>
      <c r="O39" s="76">
        <f>+O40+O41</f>
        <v>0</v>
      </c>
      <c r="P39" s="76">
        <f>+P40+P41</f>
        <v>0</v>
      </c>
      <c r="Q39" s="76">
        <f>+Q40+Q41</f>
        <v>0</v>
      </c>
      <c r="R39" s="26">
        <f t="shared" si="4"/>
        <v>0</v>
      </c>
    </row>
    <row r="40" spans="1:18" ht="13.8" x14ac:dyDescent="0.3">
      <c r="A40" s="70"/>
      <c r="B40" s="61" t="s">
        <v>63</v>
      </c>
      <c r="C40" s="4" t="s">
        <v>86</v>
      </c>
      <c r="D40" s="4"/>
      <c r="E40" s="17">
        <v>562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63">
        <f t="shared" si="4"/>
        <v>0</v>
      </c>
    </row>
    <row r="41" spans="1:18" ht="13.8" x14ac:dyDescent="0.3">
      <c r="A41" s="70"/>
      <c r="B41" s="77" t="s">
        <v>71</v>
      </c>
      <c r="C41" s="122" t="s">
        <v>122</v>
      </c>
      <c r="D41" s="141"/>
      <c r="E41" s="142">
        <v>563</v>
      </c>
      <c r="F41" s="143">
        <v>0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3">
        <v>0</v>
      </c>
      <c r="R41" s="63">
        <f t="shared" si="4"/>
        <v>0</v>
      </c>
    </row>
    <row r="42" spans="1:18" ht="13.8" x14ac:dyDescent="0.3">
      <c r="A42" s="75" t="s">
        <v>87</v>
      </c>
      <c r="B42" s="61"/>
      <c r="C42" s="138"/>
      <c r="D42" s="139"/>
      <c r="E42" s="140"/>
      <c r="F42" s="76">
        <f>+F43+F44</f>
        <v>0</v>
      </c>
      <c r="G42" s="76">
        <f t="shared" ref="G42:L42" si="8">+G43+G44</f>
        <v>0</v>
      </c>
      <c r="H42" s="76">
        <f t="shared" si="8"/>
        <v>0</v>
      </c>
      <c r="I42" s="76">
        <f t="shared" si="8"/>
        <v>0</v>
      </c>
      <c r="J42" s="76">
        <f t="shared" si="8"/>
        <v>0</v>
      </c>
      <c r="K42" s="76">
        <v>0</v>
      </c>
      <c r="L42" s="76">
        <f t="shared" si="8"/>
        <v>0</v>
      </c>
      <c r="M42" s="76">
        <f>+M43+M44</f>
        <v>0</v>
      </c>
      <c r="N42" s="76">
        <f>+N43+N44</f>
        <v>0</v>
      </c>
      <c r="O42" s="76">
        <f>+O43+O44</f>
        <v>0</v>
      </c>
      <c r="P42" s="76">
        <f>+P43+P44</f>
        <v>0</v>
      </c>
      <c r="Q42" s="76">
        <f>+Q43+Q44</f>
        <v>0</v>
      </c>
      <c r="R42" s="26">
        <f t="shared" si="4"/>
        <v>0</v>
      </c>
    </row>
    <row r="43" spans="1:18" ht="13.8" x14ac:dyDescent="0.3">
      <c r="A43" s="70"/>
      <c r="B43" s="61" t="s">
        <v>63</v>
      </c>
      <c r="C43" s="114" t="s">
        <v>21</v>
      </c>
      <c r="D43" s="4"/>
      <c r="E43" s="17">
        <v>591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63">
        <f t="shared" si="4"/>
        <v>0</v>
      </c>
    </row>
    <row r="44" spans="1:18" ht="14.4" thickBot="1" x14ac:dyDescent="0.35">
      <c r="A44" s="70"/>
      <c r="B44" s="81" t="s">
        <v>68</v>
      </c>
      <c r="C44" s="122" t="s">
        <v>22</v>
      </c>
      <c r="D44" s="141"/>
      <c r="E44" s="142">
        <v>595</v>
      </c>
      <c r="F44" s="143">
        <v>0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63">
        <f t="shared" si="4"/>
        <v>0</v>
      </c>
    </row>
    <row r="45" spans="1:18" ht="15.75" customHeight="1" thickBot="1" x14ac:dyDescent="0.5">
      <c r="A45" s="47" t="s">
        <v>88</v>
      </c>
      <c r="B45" s="48"/>
      <c r="C45" s="83"/>
      <c r="D45" s="83"/>
      <c r="E45" s="84"/>
      <c r="F45" s="85">
        <f t="shared" ref="F45:Q45" si="9">+F46+F60+F64</f>
        <v>30039222.329999998</v>
      </c>
      <c r="G45" s="85">
        <f t="shared" si="9"/>
        <v>30980144.220000003</v>
      </c>
      <c r="H45" s="85">
        <f t="shared" si="9"/>
        <v>31998923.549999997</v>
      </c>
      <c r="I45" s="85">
        <f t="shared" si="9"/>
        <v>27491122.93</v>
      </c>
      <c r="J45" s="85">
        <f t="shared" si="9"/>
        <v>29433040.300000004</v>
      </c>
      <c r="K45" s="85">
        <f t="shared" si="9"/>
        <v>29094368.09</v>
      </c>
      <c r="L45" s="85">
        <f t="shared" si="9"/>
        <v>31623629.399999999</v>
      </c>
      <c r="M45" s="85">
        <f t="shared" si="9"/>
        <v>35426047.979999997</v>
      </c>
      <c r="N45" s="85">
        <f>+N46+N60+N64</f>
        <v>38619396.999999993</v>
      </c>
      <c r="O45" s="85">
        <f t="shared" si="9"/>
        <v>55725685.439999998</v>
      </c>
      <c r="P45" s="85">
        <f t="shared" si="9"/>
        <v>24142728.010000002</v>
      </c>
      <c r="Q45" s="85">
        <f t="shared" si="9"/>
        <v>34748097.590000004</v>
      </c>
      <c r="R45" s="86">
        <f t="shared" si="4"/>
        <v>399322406.84000003</v>
      </c>
    </row>
    <row r="46" spans="1:18" ht="15.75" customHeight="1" x14ac:dyDescent="0.25">
      <c r="A46" s="52" t="s">
        <v>89</v>
      </c>
      <c r="B46" s="144"/>
      <c r="C46" s="88"/>
      <c r="D46" s="5"/>
      <c r="E46" s="16"/>
      <c r="F46" s="55">
        <f t="shared" ref="F46:Q46" si="10">+SUM(F47:F59)</f>
        <v>26607665.469999995</v>
      </c>
      <c r="G46" s="55">
        <f t="shared" si="10"/>
        <v>27030615.540000003</v>
      </c>
      <c r="H46" s="55">
        <f t="shared" si="10"/>
        <v>28350942.669999994</v>
      </c>
      <c r="I46" s="55">
        <f t="shared" si="10"/>
        <v>23814764.190000001</v>
      </c>
      <c r="J46" s="55">
        <f t="shared" si="10"/>
        <v>25734607.740000002</v>
      </c>
      <c r="K46" s="55">
        <f t="shared" si="10"/>
        <v>25419013.790000003</v>
      </c>
      <c r="L46" s="55">
        <f t="shared" si="10"/>
        <v>27911846.029999997</v>
      </c>
      <c r="M46" s="55">
        <f t="shared" si="10"/>
        <v>31706780.399999999</v>
      </c>
      <c r="N46" s="55">
        <f t="shared" si="10"/>
        <v>34922235.589999996</v>
      </c>
      <c r="O46" s="55">
        <f t="shared" si="10"/>
        <v>25750369.669999998</v>
      </c>
      <c r="P46" s="55">
        <f t="shared" si="10"/>
        <v>21459762.5</v>
      </c>
      <c r="Q46" s="55">
        <f t="shared" si="10"/>
        <v>32014138.420000006</v>
      </c>
      <c r="R46" s="25">
        <f t="shared" si="4"/>
        <v>330722742.00999999</v>
      </c>
    </row>
    <row r="47" spans="1:18" ht="13.8" x14ac:dyDescent="0.3">
      <c r="A47" s="60"/>
      <c r="B47" s="135" t="s">
        <v>62</v>
      </c>
      <c r="C47" s="88" t="s">
        <v>56</v>
      </c>
      <c r="D47" s="5"/>
      <c r="E47" s="16">
        <v>601</v>
      </c>
      <c r="F47" s="145">
        <v>5289.24</v>
      </c>
      <c r="G47" s="145">
        <v>3966.93</v>
      </c>
      <c r="H47" s="145">
        <v>2644.62</v>
      </c>
      <c r="I47" s="145">
        <v>0</v>
      </c>
      <c r="J47" s="145">
        <v>2644.62</v>
      </c>
      <c r="K47" s="145">
        <v>0</v>
      </c>
      <c r="L47" s="145">
        <v>1322.31</v>
      </c>
      <c r="M47" s="145">
        <v>3966.93</v>
      </c>
      <c r="N47" s="145">
        <v>1322.31</v>
      </c>
      <c r="O47" s="145">
        <v>1322.31</v>
      </c>
      <c r="P47" s="145">
        <v>1322.31</v>
      </c>
      <c r="Q47" s="136">
        <v>0</v>
      </c>
      <c r="R47" s="58">
        <f t="shared" si="4"/>
        <v>23801.58</v>
      </c>
    </row>
    <row r="48" spans="1:18" ht="13.8" x14ac:dyDescent="0.3">
      <c r="A48" s="60"/>
      <c r="B48" s="61" t="s">
        <v>63</v>
      </c>
      <c r="C48" s="88" t="s">
        <v>57</v>
      </c>
      <c r="D48" s="4"/>
      <c r="E48" s="17">
        <v>602</v>
      </c>
      <c r="F48" s="113">
        <v>26471739.09</v>
      </c>
      <c r="G48" s="113">
        <v>26893426.870000001</v>
      </c>
      <c r="H48" s="113">
        <v>27893821.149999999</v>
      </c>
      <c r="I48" s="113">
        <v>23678018.25</v>
      </c>
      <c r="J48" s="113">
        <v>25602988.399999999</v>
      </c>
      <c r="K48" s="113">
        <v>25252074.600000001</v>
      </c>
      <c r="L48" s="113">
        <v>27741902.440000001</v>
      </c>
      <c r="M48" s="113">
        <v>31583819.57</v>
      </c>
      <c r="N48" s="113">
        <v>34755954.259999998</v>
      </c>
      <c r="O48" s="113">
        <v>25285506.800000001</v>
      </c>
      <c r="P48" s="113">
        <v>21131507.440000001</v>
      </c>
      <c r="Q48" s="113">
        <v>31511252.530000001</v>
      </c>
      <c r="R48" s="63">
        <f t="shared" si="4"/>
        <v>327802011.39999998</v>
      </c>
    </row>
    <row r="49" spans="1:18" ht="13.8" x14ac:dyDescent="0.3">
      <c r="A49" s="60"/>
      <c r="B49" s="61" t="s">
        <v>68</v>
      </c>
      <c r="C49" s="88" t="s">
        <v>47</v>
      </c>
      <c r="D49" s="4"/>
      <c r="E49" s="17">
        <v>603</v>
      </c>
      <c r="F49" s="113">
        <v>60838.97</v>
      </c>
      <c r="G49" s="113">
        <v>59350.53</v>
      </c>
      <c r="H49" s="113">
        <v>68905.59</v>
      </c>
      <c r="I49" s="113">
        <v>57234.82</v>
      </c>
      <c r="J49" s="113">
        <v>57234.82</v>
      </c>
      <c r="K49" s="113">
        <v>81044.429999999993</v>
      </c>
      <c r="L49" s="113">
        <v>59664.58</v>
      </c>
      <c r="M49" s="113">
        <v>60011.68</v>
      </c>
      <c r="N49" s="113">
        <v>68648.570000000007</v>
      </c>
      <c r="O49" s="113">
        <v>57234.82</v>
      </c>
      <c r="P49" s="113">
        <v>57234.82</v>
      </c>
      <c r="Q49" s="113">
        <v>305080.76</v>
      </c>
      <c r="R49" s="63">
        <f t="shared" si="4"/>
        <v>992484.3899999999</v>
      </c>
    </row>
    <row r="50" spans="1:18" ht="13.8" x14ac:dyDescent="0.3">
      <c r="A50" s="60"/>
      <c r="B50" s="61" t="s">
        <v>69</v>
      </c>
      <c r="C50" s="90" t="s">
        <v>90</v>
      </c>
      <c r="D50" s="91"/>
      <c r="E50" s="17">
        <v>604</v>
      </c>
      <c r="F50" s="113">
        <v>63526.46</v>
      </c>
      <c r="G50" s="113">
        <v>69774.960000000006</v>
      </c>
      <c r="H50" s="113">
        <v>89024.45</v>
      </c>
      <c r="I50" s="113">
        <v>75133.84</v>
      </c>
      <c r="J50" s="113">
        <v>69237.62</v>
      </c>
      <c r="K50" s="113">
        <v>53050.28</v>
      </c>
      <c r="L50" s="113">
        <v>49226</v>
      </c>
      <c r="M50" s="113">
        <v>54948.52</v>
      </c>
      <c r="N50" s="113">
        <v>57754.69</v>
      </c>
      <c r="O50" s="113">
        <v>47885.39</v>
      </c>
      <c r="P50" s="113">
        <v>41501.99</v>
      </c>
      <c r="Q50" s="113">
        <v>44551.7</v>
      </c>
      <c r="R50" s="63">
        <f t="shared" si="4"/>
        <v>715615.9</v>
      </c>
    </row>
    <row r="51" spans="1:18" ht="13.8" x14ac:dyDescent="0.3">
      <c r="A51" s="60"/>
      <c r="B51" s="61" t="s">
        <v>71</v>
      </c>
      <c r="C51" s="92" t="s">
        <v>91</v>
      </c>
      <c r="D51" s="91"/>
      <c r="E51" s="17">
        <v>609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63">
        <f t="shared" si="4"/>
        <v>0</v>
      </c>
    </row>
    <row r="52" spans="1:18" ht="13.8" x14ac:dyDescent="0.3">
      <c r="A52" s="60"/>
      <c r="B52" s="61" t="s">
        <v>73</v>
      </c>
      <c r="C52" s="121" t="s">
        <v>92</v>
      </c>
      <c r="D52" s="91"/>
      <c r="E52" s="17">
        <v>641.64200000000005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3">
        <v>0</v>
      </c>
      <c r="Q52" s="113">
        <v>0</v>
      </c>
      <c r="R52" s="63">
        <f t="shared" si="4"/>
        <v>0</v>
      </c>
    </row>
    <row r="53" spans="1:18" ht="13.8" x14ac:dyDescent="0.3">
      <c r="A53" s="60"/>
      <c r="B53" s="61" t="s">
        <v>120</v>
      </c>
      <c r="C53" s="121" t="s">
        <v>119</v>
      </c>
      <c r="D53" s="91"/>
      <c r="E53" s="17">
        <v>643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63">
        <f t="shared" si="4"/>
        <v>0</v>
      </c>
    </row>
    <row r="54" spans="1:18" ht="13.8" x14ac:dyDescent="0.3">
      <c r="A54" s="60"/>
      <c r="B54" s="61" t="s">
        <v>70</v>
      </c>
      <c r="C54" s="90" t="s">
        <v>93</v>
      </c>
      <c r="D54" s="91"/>
      <c r="E54" s="146">
        <v>644</v>
      </c>
      <c r="F54" s="113">
        <v>1454.22</v>
      </c>
      <c r="G54" s="113">
        <v>1110.06</v>
      </c>
      <c r="H54" s="113">
        <v>255.65</v>
      </c>
      <c r="I54" s="113">
        <v>2289.87</v>
      </c>
      <c r="J54" s="113">
        <v>0</v>
      </c>
      <c r="K54" s="113">
        <v>318</v>
      </c>
      <c r="L54" s="113">
        <v>2442.16</v>
      </c>
      <c r="M54" s="113">
        <v>1372.73</v>
      </c>
      <c r="N54" s="113">
        <v>0</v>
      </c>
      <c r="O54" s="113">
        <v>764.87</v>
      </c>
      <c r="P54" s="113">
        <v>682</v>
      </c>
      <c r="Q54" s="113">
        <v>6613.17</v>
      </c>
      <c r="R54" s="63">
        <f t="shared" si="4"/>
        <v>17302.73</v>
      </c>
    </row>
    <row r="55" spans="1:18" ht="13.8" x14ac:dyDescent="0.3">
      <c r="A55" s="60"/>
      <c r="B55" s="61" t="s">
        <v>72</v>
      </c>
      <c r="C55" s="88" t="s">
        <v>94</v>
      </c>
      <c r="D55" s="147"/>
      <c r="E55" s="148">
        <v>645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0</v>
      </c>
      <c r="M55" s="113">
        <v>0</v>
      </c>
      <c r="N55" s="113">
        <v>0</v>
      </c>
      <c r="O55" s="113">
        <v>0</v>
      </c>
      <c r="P55" s="113">
        <v>0</v>
      </c>
      <c r="Q55" s="113">
        <v>0</v>
      </c>
      <c r="R55" s="63">
        <f t="shared" si="4"/>
        <v>0</v>
      </c>
    </row>
    <row r="56" spans="1:18" ht="13.8" x14ac:dyDescent="0.3">
      <c r="A56" s="60"/>
      <c r="B56" s="61" t="s">
        <v>8</v>
      </c>
      <c r="C56" s="88" t="s">
        <v>95</v>
      </c>
      <c r="D56" s="4"/>
      <c r="E56" s="146">
        <v>646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63">
        <f t="shared" si="4"/>
        <v>0</v>
      </c>
    </row>
    <row r="57" spans="1:18" ht="13.8" x14ac:dyDescent="0.3">
      <c r="A57" s="60"/>
      <c r="B57" s="61" t="s">
        <v>121</v>
      </c>
      <c r="C57" s="88" t="s">
        <v>96</v>
      </c>
      <c r="D57" s="147"/>
      <c r="E57" s="148">
        <v>647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63">
        <f t="shared" si="4"/>
        <v>0</v>
      </c>
    </row>
    <row r="58" spans="1:18" ht="13.8" x14ac:dyDescent="0.3">
      <c r="A58" s="60"/>
      <c r="B58" s="61" t="s">
        <v>10</v>
      </c>
      <c r="C58" s="90" t="s">
        <v>48</v>
      </c>
      <c r="D58" s="4"/>
      <c r="E58" s="17">
        <v>648</v>
      </c>
      <c r="F58" s="113">
        <v>0</v>
      </c>
      <c r="G58" s="113">
        <v>0</v>
      </c>
      <c r="H58" s="113">
        <v>188151.31</v>
      </c>
      <c r="I58" s="113">
        <v>0</v>
      </c>
      <c r="J58" s="113">
        <v>0</v>
      </c>
      <c r="K58" s="113">
        <v>0</v>
      </c>
      <c r="L58" s="113">
        <v>40000</v>
      </c>
      <c r="M58" s="113">
        <v>0</v>
      </c>
      <c r="N58" s="113">
        <v>0</v>
      </c>
      <c r="O58" s="113">
        <v>176126.33</v>
      </c>
      <c r="P58" s="113">
        <v>224735.51</v>
      </c>
      <c r="Q58" s="113">
        <v>87105.17</v>
      </c>
      <c r="R58" s="63">
        <f t="shared" si="4"/>
        <v>716118.32000000007</v>
      </c>
    </row>
    <row r="59" spans="1:18" ht="13.5" customHeight="1" x14ac:dyDescent="0.3">
      <c r="A59" s="60"/>
      <c r="B59" s="61" t="s">
        <v>11</v>
      </c>
      <c r="C59" s="90" t="s">
        <v>49</v>
      </c>
      <c r="D59" s="4"/>
      <c r="E59" s="17">
        <v>649</v>
      </c>
      <c r="F59" s="113">
        <v>4817.49</v>
      </c>
      <c r="G59" s="113">
        <v>2986.19</v>
      </c>
      <c r="H59" s="113">
        <v>108139.9</v>
      </c>
      <c r="I59" s="113">
        <v>2087.41</v>
      </c>
      <c r="J59" s="113">
        <v>2502.2800000000002</v>
      </c>
      <c r="K59" s="113">
        <v>32526.48</v>
      </c>
      <c r="L59" s="113">
        <v>17288.54</v>
      </c>
      <c r="M59" s="113">
        <v>2660.97</v>
      </c>
      <c r="N59" s="113">
        <v>38555.760000000002</v>
      </c>
      <c r="O59" s="113">
        <v>181529.15</v>
      </c>
      <c r="P59" s="113">
        <v>2778.43</v>
      </c>
      <c r="Q59" s="113">
        <v>59535.09</v>
      </c>
      <c r="R59" s="63">
        <f t="shared" si="4"/>
        <v>455407.69000000006</v>
      </c>
    </row>
    <row r="60" spans="1:18" ht="13.5" customHeight="1" x14ac:dyDescent="0.3">
      <c r="A60" s="75" t="s">
        <v>97</v>
      </c>
      <c r="B60" s="61"/>
      <c r="C60" s="138"/>
      <c r="D60" s="139"/>
      <c r="E60" s="140"/>
      <c r="F60" s="76">
        <f>F61+F63</f>
        <v>418.19</v>
      </c>
      <c r="G60" s="76">
        <f t="shared" ref="G60:M60" si="11">G61+G63</f>
        <v>375.03</v>
      </c>
      <c r="H60" s="76">
        <f t="shared" si="11"/>
        <v>535.96</v>
      </c>
      <c r="I60" s="76">
        <f t="shared" si="11"/>
        <v>570.07000000000005</v>
      </c>
      <c r="J60" s="76">
        <f t="shared" si="11"/>
        <v>596.89</v>
      </c>
      <c r="K60" s="76">
        <f t="shared" si="11"/>
        <v>498.4</v>
      </c>
      <c r="L60" s="76">
        <f t="shared" si="11"/>
        <v>453.7</v>
      </c>
      <c r="M60" s="76">
        <f t="shared" si="11"/>
        <v>391.91</v>
      </c>
      <c r="N60" s="76">
        <f>N61+N63+N62</f>
        <v>445.33000000000004</v>
      </c>
      <c r="O60" s="76">
        <f t="shared" ref="O60:Q60" si="12">O61+O63+O62</f>
        <v>746.06</v>
      </c>
      <c r="P60" s="76">
        <f t="shared" si="12"/>
        <v>356.85</v>
      </c>
      <c r="Q60" s="76">
        <f t="shared" si="12"/>
        <v>248.35</v>
      </c>
      <c r="R60" s="26">
        <f t="shared" si="4"/>
        <v>5636.74</v>
      </c>
    </row>
    <row r="61" spans="1:18" ht="13.8" x14ac:dyDescent="0.3">
      <c r="A61" s="60"/>
      <c r="B61" s="61" t="s">
        <v>62</v>
      </c>
      <c r="C61" s="90" t="s">
        <v>86</v>
      </c>
      <c r="D61" s="4"/>
      <c r="E61" s="17">
        <v>662</v>
      </c>
      <c r="F61" s="113">
        <v>418.19</v>
      </c>
      <c r="G61" s="113">
        <v>375.03</v>
      </c>
      <c r="H61" s="113">
        <v>535.96</v>
      </c>
      <c r="I61" s="113">
        <v>570.07000000000005</v>
      </c>
      <c r="J61" s="113">
        <v>596.89</v>
      </c>
      <c r="K61" s="113">
        <v>498.4</v>
      </c>
      <c r="L61" s="113">
        <v>453.7</v>
      </c>
      <c r="M61" s="113">
        <v>391.91</v>
      </c>
      <c r="N61" s="113">
        <v>386.11</v>
      </c>
      <c r="O61" s="113">
        <v>746.06</v>
      </c>
      <c r="P61" s="113">
        <v>356.85</v>
      </c>
      <c r="Q61" s="113">
        <v>248.35</v>
      </c>
      <c r="R61" s="63">
        <f t="shared" si="4"/>
        <v>5577.52</v>
      </c>
    </row>
    <row r="62" spans="1:18" ht="13.8" x14ac:dyDescent="0.3">
      <c r="A62" s="60"/>
      <c r="B62" s="61"/>
      <c r="C62" s="90" t="s">
        <v>130</v>
      </c>
      <c r="D62" s="4"/>
      <c r="E62" s="17">
        <v>663</v>
      </c>
      <c r="F62" s="113"/>
      <c r="G62" s="113"/>
      <c r="H62" s="113"/>
      <c r="I62" s="113"/>
      <c r="J62" s="113"/>
      <c r="K62" s="113"/>
      <c r="L62" s="113"/>
      <c r="M62" s="113"/>
      <c r="N62" s="113">
        <v>59.22</v>
      </c>
      <c r="O62" s="113">
        <v>0</v>
      </c>
      <c r="P62" s="113">
        <v>0</v>
      </c>
      <c r="Q62" s="113">
        <v>0</v>
      </c>
      <c r="R62" s="63">
        <f t="shared" si="4"/>
        <v>59.22</v>
      </c>
    </row>
    <row r="63" spans="1:18" ht="13.8" x14ac:dyDescent="0.3">
      <c r="A63" s="60"/>
      <c r="B63" s="61" t="s">
        <v>63</v>
      </c>
      <c r="C63" s="90" t="s">
        <v>98</v>
      </c>
      <c r="D63" s="4"/>
      <c r="E63" s="17">
        <v>669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L63" s="113">
        <v>0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63">
        <f t="shared" si="4"/>
        <v>0</v>
      </c>
    </row>
    <row r="64" spans="1:18" ht="13.8" x14ac:dyDescent="0.3">
      <c r="A64" s="75" t="s">
        <v>99</v>
      </c>
      <c r="B64" s="61"/>
      <c r="C64" s="138"/>
      <c r="D64" s="139"/>
      <c r="E64" s="140"/>
      <c r="F64" s="76">
        <f>+F65+F68+F78</f>
        <v>3431138.67</v>
      </c>
      <c r="G64" s="76">
        <f>+G65+G68+G78+G66</f>
        <v>3949153.65</v>
      </c>
      <c r="H64" s="76">
        <f t="shared" ref="H64:L64" si="13">+H65+H68+H78+H66</f>
        <v>3647444.92</v>
      </c>
      <c r="I64" s="76">
        <f t="shared" si="13"/>
        <v>3675788.67</v>
      </c>
      <c r="J64" s="76">
        <f>+J65+J68+J78+J66</f>
        <v>3697835.67</v>
      </c>
      <c r="K64" s="76">
        <f>+K65+K68+K78+K66+K67</f>
        <v>3674855.9</v>
      </c>
      <c r="L64" s="76">
        <f t="shared" si="13"/>
        <v>3711329.67</v>
      </c>
      <c r="M64" s="76">
        <f>+M65+M68+M78+M66+M67</f>
        <v>3718875.67</v>
      </c>
      <c r="N64" s="76">
        <f>+N65+N68+N78+N66+N67</f>
        <v>3696716.08</v>
      </c>
      <c r="O64" s="76">
        <f t="shared" ref="O64:P64" si="14">+O65+O68+O78+O66+O67</f>
        <v>29974569.710000001</v>
      </c>
      <c r="P64" s="76">
        <f t="shared" si="14"/>
        <v>2682608.66</v>
      </c>
      <c r="Q64" s="76">
        <f>+Q65+Q68+Q78+Q66+Q67</f>
        <v>2733710.8200000003</v>
      </c>
      <c r="R64" s="26">
        <f>SUM(F64:Q64)</f>
        <v>68594028.090000004</v>
      </c>
    </row>
    <row r="65" spans="1:18" ht="13.8" x14ac:dyDescent="0.3">
      <c r="A65" s="60"/>
      <c r="B65" s="61" t="s">
        <v>62</v>
      </c>
      <c r="C65" s="118" t="s">
        <v>115</v>
      </c>
      <c r="D65" s="4"/>
      <c r="E65" s="17">
        <v>672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63">
        <f t="shared" si="4"/>
        <v>0</v>
      </c>
    </row>
    <row r="66" spans="1:18" ht="13.8" x14ac:dyDescent="0.3">
      <c r="A66" s="60"/>
      <c r="B66" s="61"/>
      <c r="C66" s="118" t="s">
        <v>113</v>
      </c>
      <c r="D66" s="4"/>
      <c r="E66" s="17"/>
      <c r="F66" s="136">
        <v>0</v>
      </c>
      <c r="G66" s="113">
        <v>0</v>
      </c>
      <c r="H66" s="136">
        <v>0</v>
      </c>
      <c r="I66" s="136">
        <v>0</v>
      </c>
      <c r="J66" s="136">
        <v>0</v>
      </c>
      <c r="K66" s="136"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  <c r="Q66" s="136">
        <v>0</v>
      </c>
      <c r="R66" s="63">
        <f t="shared" si="4"/>
        <v>0</v>
      </c>
    </row>
    <row r="67" spans="1:18" ht="13.8" x14ac:dyDescent="0.3">
      <c r="A67" s="60"/>
      <c r="B67" s="61"/>
      <c r="C67" s="118" t="s">
        <v>123</v>
      </c>
      <c r="D67" s="4"/>
      <c r="E67" s="17"/>
      <c r="F67" s="136">
        <v>0</v>
      </c>
      <c r="G67" s="136">
        <v>0</v>
      </c>
      <c r="H67" s="136">
        <v>0</v>
      </c>
      <c r="I67" s="136">
        <v>0</v>
      </c>
      <c r="J67" s="136">
        <v>0</v>
      </c>
      <c r="K67" s="136">
        <v>0</v>
      </c>
      <c r="L67" s="136">
        <v>0</v>
      </c>
      <c r="M67" s="136">
        <v>0</v>
      </c>
      <c r="N67" s="136">
        <v>0</v>
      </c>
      <c r="O67" s="136">
        <v>27300374.050000001</v>
      </c>
      <c r="P67" s="136">
        <v>0</v>
      </c>
      <c r="Q67" s="136">
        <v>-5325.05</v>
      </c>
      <c r="R67" s="63">
        <f>SUM(F67:Q67)</f>
        <v>27295049</v>
      </c>
    </row>
    <row r="68" spans="1:18" ht="13.8" x14ac:dyDescent="0.3">
      <c r="A68" s="60"/>
      <c r="B68" s="61" t="s">
        <v>63</v>
      </c>
      <c r="C68" s="118" t="s">
        <v>100</v>
      </c>
      <c r="D68" s="114"/>
      <c r="E68" s="146">
        <v>672</v>
      </c>
      <c r="F68" s="55">
        <f>+F69+F70+F73+F74+F77</f>
        <v>3153291.67</v>
      </c>
      <c r="G68" s="55">
        <f>+G69+G70+G73+G74+G77</f>
        <v>3671306.65</v>
      </c>
      <c r="H68" s="55">
        <f>+H69+H70+H73+H74+H77</f>
        <v>3369597.92</v>
      </c>
      <c r="I68" s="55">
        <f>+I69+I70+I73+I74+I77+I76</f>
        <v>3397941.67</v>
      </c>
      <c r="J68" s="55">
        <f>+J69+J70+J73+J74+J77+J76</f>
        <v>3419174.67</v>
      </c>
      <c r="K68" s="55">
        <f>+K69+K70+K73+K74+K77+K76</f>
        <v>3395048.9</v>
      </c>
      <c r="L68" s="55">
        <f>+L69+L70+L73+L74+L77+L76</f>
        <v>3431522.67</v>
      </c>
      <c r="M68" s="55">
        <f t="shared" ref="M68:O68" si="15">+M69+M70+M73+M74+M77+M76</f>
        <v>3439068.67</v>
      </c>
      <c r="N68" s="55">
        <f t="shared" si="15"/>
        <v>3415856.59</v>
      </c>
      <c r="O68" s="55">
        <f t="shared" si="15"/>
        <v>2393521.66</v>
      </c>
      <c r="P68" s="55">
        <f>+P69+P70+P73+P74+P77+P76+P75+P71+P72</f>
        <v>2401934.66</v>
      </c>
      <c r="Q68" s="55">
        <f>+Q69+Q70+Q73+Q74+Q77+Q76+Q71+Q72+Q75</f>
        <v>2458361.87</v>
      </c>
      <c r="R68" s="26">
        <f t="shared" si="4"/>
        <v>37946627.600000001</v>
      </c>
    </row>
    <row r="69" spans="1:18" ht="13.5" customHeight="1" x14ac:dyDescent="0.3">
      <c r="A69" s="60"/>
      <c r="B69" s="61"/>
      <c r="C69" s="90" t="s">
        <v>1</v>
      </c>
      <c r="D69" s="4" t="s">
        <v>58</v>
      </c>
      <c r="E69" s="148"/>
      <c r="F69" s="113">
        <v>1948416.67</v>
      </c>
      <c r="G69" s="113">
        <v>1948416.67</v>
      </c>
      <c r="H69" s="113">
        <v>1948416.67</v>
      </c>
      <c r="I69" s="113">
        <v>1948416.67</v>
      </c>
      <c r="J69" s="113">
        <v>1948416.67</v>
      </c>
      <c r="K69" s="113">
        <v>1948416.67</v>
      </c>
      <c r="L69" s="113">
        <v>1948416.67</v>
      </c>
      <c r="M69" s="113">
        <v>1948416.67</v>
      </c>
      <c r="N69" s="113">
        <v>1948416.67</v>
      </c>
      <c r="O69" s="113">
        <v>902416.66</v>
      </c>
      <c r="P69" s="113">
        <v>902416.66</v>
      </c>
      <c r="Q69" s="113">
        <v>902416.65</v>
      </c>
      <c r="R69" s="63">
        <f t="shared" si="4"/>
        <v>20243000</v>
      </c>
    </row>
    <row r="70" spans="1:18" ht="13.5" customHeight="1" x14ac:dyDescent="0.3">
      <c r="A70" s="60"/>
      <c r="B70" s="98"/>
      <c r="C70" s="90"/>
      <c r="D70" s="4" t="s">
        <v>112</v>
      </c>
      <c r="E70" s="16"/>
      <c r="F70" s="136">
        <v>0</v>
      </c>
      <c r="G70" s="136">
        <v>0</v>
      </c>
      <c r="H70" s="136">
        <v>0</v>
      </c>
      <c r="I70" s="136">
        <v>0</v>
      </c>
      <c r="J70" s="136">
        <v>0</v>
      </c>
      <c r="K70" s="136">
        <v>0</v>
      </c>
      <c r="L70" s="136">
        <v>0</v>
      </c>
      <c r="M70" s="136">
        <v>0</v>
      </c>
      <c r="N70" s="136">
        <v>0</v>
      </c>
      <c r="O70" s="136">
        <v>0</v>
      </c>
      <c r="P70" s="136">
        <v>0</v>
      </c>
      <c r="Q70" s="136">
        <v>0</v>
      </c>
      <c r="R70" s="63">
        <f t="shared" si="4"/>
        <v>0</v>
      </c>
    </row>
    <row r="71" spans="1:18" ht="13.5" customHeight="1" x14ac:dyDescent="0.3">
      <c r="A71" s="60"/>
      <c r="B71" s="98"/>
      <c r="C71" s="90"/>
      <c r="D71" s="4" t="s">
        <v>116</v>
      </c>
      <c r="E71" s="16"/>
      <c r="F71" s="136">
        <v>0</v>
      </c>
      <c r="G71" s="136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63">
        <f t="shared" si="4"/>
        <v>0</v>
      </c>
    </row>
    <row r="72" spans="1:18" ht="13.5" customHeight="1" x14ac:dyDescent="0.3">
      <c r="A72" s="60"/>
      <c r="B72" s="98"/>
      <c r="C72" s="90"/>
      <c r="D72" s="114" t="s">
        <v>124</v>
      </c>
      <c r="E72" s="16"/>
      <c r="F72" s="136">
        <v>0</v>
      </c>
      <c r="G72" s="136">
        <v>0</v>
      </c>
      <c r="H72" s="136">
        <v>0</v>
      </c>
      <c r="I72" s="136"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63">
        <f t="shared" si="4"/>
        <v>0</v>
      </c>
    </row>
    <row r="73" spans="1:18" ht="13.8" x14ac:dyDescent="0.3">
      <c r="A73" s="60"/>
      <c r="B73" s="149"/>
      <c r="C73" s="90"/>
      <c r="D73" s="4" t="s">
        <v>114</v>
      </c>
      <c r="E73" s="17"/>
      <c r="F73" s="113">
        <v>0</v>
      </c>
      <c r="G73" s="113">
        <v>488016</v>
      </c>
      <c r="H73" s="113">
        <v>244008</v>
      </c>
      <c r="I73" s="113">
        <v>244008</v>
      </c>
      <c r="J73" s="113">
        <v>244008</v>
      </c>
      <c r="K73" s="113">
        <v>244008</v>
      </c>
      <c r="L73" s="113">
        <v>244008</v>
      </c>
      <c r="M73" s="113">
        <v>244008</v>
      </c>
      <c r="N73" s="113">
        <v>244008</v>
      </c>
      <c r="O73" s="113">
        <v>244008</v>
      </c>
      <c r="P73" s="113">
        <v>244008</v>
      </c>
      <c r="Q73" s="113">
        <v>244012</v>
      </c>
      <c r="R73" s="69">
        <f t="shared" si="4"/>
        <v>2928100</v>
      </c>
    </row>
    <row r="74" spans="1:18" ht="13.8" x14ac:dyDescent="0.3">
      <c r="A74" s="60"/>
      <c r="B74" s="149"/>
      <c r="C74" s="90"/>
      <c r="D74" s="22" t="s">
        <v>101</v>
      </c>
      <c r="E74" s="17"/>
      <c r="F74" s="113">
        <v>1204875</v>
      </c>
      <c r="G74" s="113">
        <v>1204873.98</v>
      </c>
      <c r="H74" s="113">
        <v>1177173.25</v>
      </c>
      <c r="I74" s="113">
        <v>1205517</v>
      </c>
      <c r="J74" s="113">
        <v>1226750</v>
      </c>
      <c r="K74" s="113">
        <v>1202624.23</v>
      </c>
      <c r="L74" s="113">
        <v>1239098</v>
      </c>
      <c r="M74" s="113">
        <v>1246644</v>
      </c>
      <c r="N74" s="113">
        <v>1223431.92</v>
      </c>
      <c r="O74" s="113">
        <v>1247097</v>
      </c>
      <c r="P74" s="113">
        <v>1255510</v>
      </c>
      <c r="Q74" s="113">
        <v>1219720.6200000001</v>
      </c>
      <c r="R74" s="69">
        <f t="shared" si="4"/>
        <v>14653315</v>
      </c>
    </row>
    <row r="75" spans="1:18" ht="13.8" x14ac:dyDescent="0.3">
      <c r="A75" s="60"/>
      <c r="B75" s="149"/>
      <c r="C75" s="90"/>
      <c r="D75" s="123" t="s">
        <v>126</v>
      </c>
      <c r="E75" s="17"/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Q75" s="113">
        <v>0</v>
      </c>
      <c r="R75" s="69">
        <f t="shared" si="4"/>
        <v>0</v>
      </c>
    </row>
    <row r="76" spans="1:18" ht="13.8" x14ac:dyDescent="0.3">
      <c r="A76" s="60"/>
      <c r="B76" s="149"/>
      <c r="C76" s="90"/>
      <c r="D76" s="123" t="s">
        <v>127</v>
      </c>
      <c r="E76" s="17"/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0</v>
      </c>
      <c r="O76" s="113">
        <v>0</v>
      </c>
      <c r="P76" s="113">
        <v>0</v>
      </c>
      <c r="Q76" s="113">
        <v>0</v>
      </c>
      <c r="R76" s="69">
        <f t="shared" si="4"/>
        <v>0</v>
      </c>
    </row>
    <row r="77" spans="1:18" ht="13.8" x14ac:dyDescent="0.3">
      <c r="A77" s="60"/>
      <c r="B77" s="149"/>
      <c r="C77" s="90"/>
      <c r="D77" s="114" t="s">
        <v>102</v>
      </c>
      <c r="E77" s="17"/>
      <c r="F77" s="113">
        <v>0</v>
      </c>
      <c r="G77" s="113">
        <v>30000</v>
      </c>
      <c r="H77" s="113">
        <v>0</v>
      </c>
      <c r="I77" s="113">
        <v>0</v>
      </c>
      <c r="J77" s="113">
        <v>0</v>
      </c>
      <c r="K77" s="113">
        <v>0</v>
      </c>
      <c r="L77" s="113">
        <v>0</v>
      </c>
      <c r="M77" s="113">
        <v>0</v>
      </c>
      <c r="N77" s="113">
        <v>0</v>
      </c>
      <c r="O77" s="113">
        <v>0</v>
      </c>
      <c r="P77" s="113">
        <v>0</v>
      </c>
      <c r="Q77" s="113">
        <v>92212.6</v>
      </c>
      <c r="R77" s="69">
        <f t="shared" si="4"/>
        <v>122212.6</v>
      </c>
    </row>
    <row r="78" spans="1:18" ht="14.4" thickBot="1" x14ac:dyDescent="0.35">
      <c r="A78" s="106"/>
      <c r="B78" s="111" t="s">
        <v>68</v>
      </c>
      <c r="C78" s="110" t="s">
        <v>106</v>
      </c>
      <c r="D78" s="150"/>
      <c r="E78" s="108">
        <v>672</v>
      </c>
      <c r="F78" s="151">
        <f>1457+129737.97+146652.03</f>
        <v>277847</v>
      </c>
      <c r="G78" s="151">
        <f>1457+129737.97+146652.03</f>
        <v>277847</v>
      </c>
      <c r="H78" s="151">
        <f>2435.83+1291.6+128759.14+145360.43</f>
        <v>277847</v>
      </c>
      <c r="I78" s="151">
        <f>129737.97+146652.03+1457</f>
        <v>277847</v>
      </c>
      <c r="J78" s="151">
        <f>1457+130551.97+146652.03</f>
        <v>278661</v>
      </c>
      <c r="K78" s="151">
        <f>2650.29+4658.77+130504.68+141993.26</f>
        <v>279807</v>
      </c>
      <c r="L78" s="151">
        <f>1457+131697.97+146652.03</f>
        <v>279807</v>
      </c>
      <c r="M78" s="151">
        <f>1457+146652.03+131697.97</f>
        <v>279807</v>
      </c>
      <c r="N78" s="151">
        <f>2353.31+2470.39+131854.15+144181.64</f>
        <v>280859.49</v>
      </c>
      <c r="O78" s="151">
        <f>1457+132564.97+146652.03</f>
        <v>280674</v>
      </c>
      <c r="P78" s="151">
        <f>1457+132564.97+146652.03</f>
        <v>280674</v>
      </c>
      <c r="Q78" s="151">
        <f>131527.43+143373.15+2494.54+3278.88</f>
        <v>280673.99999999994</v>
      </c>
      <c r="R78" s="69">
        <f t="shared" si="4"/>
        <v>3352351.49</v>
      </c>
    </row>
    <row r="79" spans="1:18" ht="17.399999999999999" thickBot="1" x14ac:dyDescent="0.5">
      <c r="A79" s="100" t="s">
        <v>103</v>
      </c>
      <c r="B79" s="112" t="s">
        <v>62</v>
      </c>
      <c r="C79" s="48" t="s">
        <v>104</v>
      </c>
      <c r="D79" s="83"/>
      <c r="E79" s="84"/>
      <c r="F79" s="85">
        <f t="shared" ref="F79:L79" si="16">+F45-F9+F42</f>
        <v>2895265.0000000075</v>
      </c>
      <c r="G79" s="85">
        <f t="shared" si="16"/>
        <v>4169575.9700000174</v>
      </c>
      <c r="H79" s="85">
        <f t="shared" si="16"/>
        <v>3622026.6599999964</v>
      </c>
      <c r="I79" s="85">
        <f t="shared" si="16"/>
        <v>-1157776.0899999887</v>
      </c>
      <c r="J79" s="85">
        <f t="shared" si="16"/>
        <v>692227.66000001132</v>
      </c>
      <c r="K79" s="85">
        <f t="shared" si="16"/>
        <v>-2790350.7599999942</v>
      </c>
      <c r="L79" s="85">
        <f t="shared" si="16"/>
        <v>-1846245.8200000077</v>
      </c>
      <c r="M79" s="85">
        <f>+M45-M9+M42</f>
        <v>6313142.25</v>
      </c>
      <c r="N79" s="85">
        <f>+N45-N9+N42</f>
        <v>5762417.3999999985</v>
      </c>
      <c r="O79" s="85">
        <f t="shared" ref="O79:Q79" si="17">+O45-O9+O42</f>
        <v>-5393309.6300000101</v>
      </c>
      <c r="P79" s="85">
        <f t="shared" si="17"/>
        <v>-9436523.1299999915</v>
      </c>
      <c r="Q79" s="85">
        <f t="shared" si="17"/>
        <v>628081.25</v>
      </c>
      <c r="R79" s="86">
        <f t="shared" si="4"/>
        <v>3458530.7600000389</v>
      </c>
    </row>
    <row r="80" spans="1:18" ht="17.399999999999999" thickBot="1" x14ac:dyDescent="0.5">
      <c r="A80" s="101"/>
      <c r="B80" s="112" t="s">
        <v>63</v>
      </c>
      <c r="C80" s="48" t="s">
        <v>105</v>
      </c>
      <c r="D80" s="83"/>
      <c r="E80" s="84"/>
      <c r="F80" s="102">
        <f t="shared" ref="F80:L80" si="18">+F45-F9</f>
        <v>2895265.0000000075</v>
      </c>
      <c r="G80" s="102">
        <f t="shared" si="18"/>
        <v>4169575.9700000174</v>
      </c>
      <c r="H80" s="102">
        <f t="shared" si="18"/>
        <v>3622026.6599999964</v>
      </c>
      <c r="I80" s="102">
        <f t="shared" si="18"/>
        <v>-1157776.0899999887</v>
      </c>
      <c r="J80" s="102">
        <f t="shared" si="18"/>
        <v>692227.66000001132</v>
      </c>
      <c r="K80" s="102">
        <f t="shared" si="18"/>
        <v>-2790350.7599999942</v>
      </c>
      <c r="L80" s="102">
        <f t="shared" si="18"/>
        <v>-1846245.8200000077</v>
      </c>
      <c r="M80" s="102">
        <f>+M45-M9</f>
        <v>6313142.25</v>
      </c>
      <c r="N80" s="102">
        <f t="shared" ref="N80:Q80" si="19">+N45-N9</f>
        <v>5762417.3999999985</v>
      </c>
      <c r="O80" s="102">
        <f t="shared" si="19"/>
        <v>-5393309.6300000101</v>
      </c>
      <c r="P80" s="102">
        <f t="shared" si="19"/>
        <v>-9436523.1299999915</v>
      </c>
      <c r="Q80" s="102">
        <f t="shared" si="19"/>
        <v>628081.25</v>
      </c>
      <c r="R80" s="86">
        <f t="shared" si="4"/>
        <v>3458530.7600000389</v>
      </c>
    </row>
    <row r="81" spans="1:18" ht="14.4" thickTop="1" x14ac:dyDescent="0.3">
      <c r="A81" s="38"/>
      <c r="B81" s="168" t="s">
        <v>125</v>
      </c>
      <c r="C81" s="169"/>
      <c r="D81" s="170"/>
      <c r="E81" s="35"/>
      <c r="F81" s="41">
        <v>412.54349999999999</v>
      </c>
      <c r="G81" s="41">
        <v>413.49610000000001</v>
      </c>
      <c r="H81" s="41">
        <v>416.30349999999999</v>
      </c>
      <c r="I81" s="41">
        <v>418.45569999999998</v>
      </c>
      <c r="J81" s="41">
        <v>421.0265</v>
      </c>
      <c r="K81" s="41">
        <v>416.65370000000001</v>
      </c>
      <c r="L81" s="41">
        <v>413.88380000000001</v>
      </c>
      <c r="M81" s="41">
        <v>411.33940000000001</v>
      </c>
      <c r="N81" s="41">
        <v>415.52870000000001</v>
      </c>
      <c r="O81" s="41">
        <v>421.19470000000001</v>
      </c>
      <c r="P81" s="41">
        <v>423.24119999999999</v>
      </c>
      <c r="Q81" s="115">
        <v>423.84910000000002</v>
      </c>
      <c r="R81" s="124">
        <f>AVERAGE(F81:Q81)</f>
        <v>417.29299166666669</v>
      </c>
    </row>
    <row r="82" spans="1:18" ht="14.4" thickBot="1" x14ac:dyDescent="0.35">
      <c r="A82" s="39"/>
      <c r="B82" s="171" t="s">
        <v>45</v>
      </c>
      <c r="C82" s="172"/>
      <c r="D82" s="173"/>
      <c r="E82" s="18"/>
      <c r="F82" s="42">
        <v>36195.480000000003</v>
      </c>
      <c r="G82" s="42">
        <v>35556.51</v>
      </c>
      <c r="H82" s="42">
        <v>34568.25</v>
      </c>
      <c r="I82" s="42">
        <v>36634.17</v>
      </c>
      <c r="J82" s="42">
        <v>37801</v>
      </c>
      <c r="K82" s="42">
        <v>42851.75</v>
      </c>
      <c r="L82" s="42">
        <v>44267.93</v>
      </c>
      <c r="M82" s="42">
        <v>38678.65</v>
      </c>
      <c r="N82" s="42">
        <v>43073.77</v>
      </c>
      <c r="O82" s="42">
        <v>89447.3</v>
      </c>
      <c r="P82" s="42">
        <v>39139.800000000003</v>
      </c>
      <c r="Q82" s="42">
        <v>40590.68</v>
      </c>
      <c r="R82" s="43">
        <f>AVERAGE(F82:Q82)</f>
        <v>43233.77416666667</v>
      </c>
    </row>
    <row r="83" spans="1:18" ht="14.4" thickTop="1" x14ac:dyDescent="0.3">
      <c r="A83" s="40"/>
      <c r="B83" s="174" t="s">
        <v>43</v>
      </c>
      <c r="C83" s="169"/>
      <c r="D83" s="170"/>
      <c r="E83" s="28"/>
      <c r="F83" s="120">
        <v>22610802.789999999</v>
      </c>
      <c r="G83" s="29">
        <v>21729308.48</v>
      </c>
      <c r="H83" s="29">
        <v>22631940.77</v>
      </c>
      <c r="I83" s="29">
        <v>17628527.800000001</v>
      </c>
      <c r="J83" s="29">
        <v>18976289.48</v>
      </c>
      <c r="K83" s="29">
        <v>19040891.75</v>
      </c>
      <c r="L83" s="29">
        <v>22241662.149999999</v>
      </c>
      <c r="M83" s="29">
        <v>24114628.690000001</v>
      </c>
      <c r="N83" s="30">
        <v>23915349.530000001</v>
      </c>
      <c r="O83" s="29">
        <v>18781352.350000001</v>
      </c>
      <c r="P83" s="29">
        <v>6179690.1500000004</v>
      </c>
      <c r="Q83" s="31">
        <v>17814672.600000001</v>
      </c>
      <c r="R83" s="36"/>
    </row>
    <row r="84" spans="1:18" ht="14.4" thickBot="1" x14ac:dyDescent="0.35">
      <c r="A84" s="39"/>
      <c r="B84" s="171" t="s">
        <v>44</v>
      </c>
      <c r="C84" s="172"/>
      <c r="D84" s="173"/>
      <c r="E84" s="18"/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3">
        <v>0</v>
      </c>
      <c r="O84" s="32">
        <v>0</v>
      </c>
      <c r="P84" s="32">
        <v>0</v>
      </c>
      <c r="Q84" s="34"/>
      <c r="R84" s="37"/>
    </row>
    <row r="85" spans="1:18" ht="14.4" thickTop="1" x14ac:dyDescent="0.3">
      <c r="A85" s="125"/>
      <c r="B85" s="126"/>
      <c r="C85" s="126"/>
      <c r="D85" s="126"/>
      <c r="E85" s="127"/>
      <c r="F85" s="128"/>
      <c r="G85" s="128"/>
      <c r="H85" s="128"/>
      <c r="I85" s="128"/>
      <c r="J85" s="128"/>
      <c r="K85" s="128"/>
      <c r="L85" s="128"/>
      <c r="M85" s="128"/>
      <c r="N85" s="129"/>
      <c r="O85" s="128"/>
      <c r="P85" s="128"/>
      <c r="Q85" s="130"/>
      <c r="R85" s="131"/>
    </row>
    <row r="86" spans="1:18" ht="17.25" customHeight="1" x14ac:dyDescent="0.25">
      <c r="A86" s="116" t="s">
        <v>46</v>
      </c>
      <c r="D86" s="153" t="s">
        <v>129</v>
      </c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</row>
    <row r="87" spans="1:18" ht="28.5" customHeight="1" x14ac:dyDescent="0.25">
      <c r="D87" s="154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</row>
    <row r="88" spans="1:18" ht="18" customHeight="1" x14ac:dyDescent="0.25"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</row>
    <row r="89" spans="1:18" ht="18" customHeight="1" x14ac:dyDescent="0.25"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</row>
    <row r="90" spans="1:18" x14ac:dyDescent="0.25">
      <c r="A90" s="2"/>
      <c r="C90" s="27" t="s">
        <v>107</v>
      </c>
      <c r="D90" s="103" t="s">
        <v>108</v>
      </c>
      <c r="G90" s="27" t="s">
        <v>42</v>
      </c>
      <c r="H90" s="104">
        <v>44221</v>
      </c>
    </row>
    <row r="91" spans="1:18" x14ac:dyDescent="0.25">
      <c r="B91" t="s">
        <v>117</v>
      </c>
    </row>
  </sheetData>
  <protectedRanges>
    <protectedRange sqref="F1 H1:N1" name="Oblast7"/>
    <protectedRange sqref="F81:Q85" name="Oblast6"/>
    <protectedRange sqref="D86:R86" name="Oblast9"/>
    <protectedRange sqref="D90" name="Oblast10"/>
    <protectedRange sqref="H90:J90" name="Oblast11"/>
  </protectedRanges>
  <mergeCells count="9">
    <mergeCell ref="D86:R86"/>
    <mergeCell ref="D87:R87"/>
    <mergeCell ref="D88:R88"/>
    <mergeCell ref="A5:D7"/>
    <mergeCell ref="E5:E7"/>
    <mergeCell ref="B81:D81"/>
    <mergeCell ref="B82:D82"/>
    <mergeCell ref="B83:D83"/>
    <mergeCell ref="B84:D8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1"/>
  <sheetViews>
    <sheetView tabSelected="1" topLeftCell="E53" workbookViewId="0">
      <selection activeCell="H91" sqref="H91"/>
    </sheetView>
  </sheetViews>
  <sheetFormatPr defaultRowHeight="13.2" x14ac:dyDescent="0.25"/>
  <cols>
    <col min="1" max="1" width="2.6640625" customWidth="1"/>
    <col min="2" max="2" width="4.5546875" customWidth="1"/>
    <col min="3" max="3" width="6.44140625" customWidth="1"/>
    <col min="4" max="4" width="52.109375" customWidth="1"/>
    <col min="5" max="5" width="9.33203125" customWidth="1"/>
    <col min="6" max="6" width="12.44140625" customWidth="1"/>
    <col min="7" max="7" width="11.6640625" customWidth="1"/>
    <col min="8" max="8" width="12.109375" customWidth="1"/>
    <col min="9" max="9" width="12.6640625" customWidth="1"/>
    <col min="10" max="10" width="12.109375" customWidth="1"/>
    <col min="11" max="11" width="12.44140625" customWidth="1"/>
    <col min="12" max="12" width="12.33203125" customWidth="1"/>
    <col min="13" max="13" width="11.6640625" customWidth="1"/>
    <col min="14" max="14" width="12.33203125" customWidth="1"/>
    <col min="15" max="15" width="11.5546875" customWidth="1"/>
    <col min="16" max="16" width="11.88671875" customWidth="1"/>
    <col min="17" max="17" width="11.5546875" customWidth="1"/>
    <col min="18" max="18" width="14.44140625" customWidth="1"/>
    <col min="21" max="21" width="17.109375" customWidth="1"/>
  </cols>
  <sheetData>
    <row r="1" spans="1:18" ht="18" customHeight="1" x14ac:dyDescent="0.5">
      <c r="A1" s="1" t="s">
        <v>29</v>
      </c>
      <c r="G1" s="105" t="s">
        <v>109</v>
      </c>
      <c r="P1" s="6"/>
      <c r="Q1" s="11"/>
    </row>
    <row r="2" spans="1:18" ht="5.25" customHeight="1" x14ac:dyDescent="0.25">
      <c r="A2" s="2"/>
    </row>
    <row r="3" spans="1:18" ht="19.5" customHeight="1" x14ac:dyDescent="0.5">
      <c r="A3" s="7" t="s">
        <v>131</v>
      </c>
      <c r="R3" s="19" t="s">
        <v>118</v>
      </c>
    </row>
    <row r="4" spans="1:18" ht="5.25" customHeight="1" thickBot="1" x14ac:dyDescent="0.3">
      <c r="O4" s="20"/>
      <c r="R4" s="3"/>
    </row>
    <row r="5" spans="1:18" ht="11.25" customHeight="1" thickTop="1" x14ac:dyDescent="0.25">
      <c r="A5" s="156" t="s">
        <v>59</v>
      </c>
      <c r="B5" s="157"/>
      <c r="C5" s="157"/>
      <c r="D5" s="158"/>
      <c r="E5" s="175" t="s">
        <v>27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9"/>
    </row>
    <row r="6" spans="1:18" ht="12.75" customHeight="1" x14ac:dyDescent="0.45">
      <c r="A6" s="159"/>
      <c r="B6" s="160"/>
      <c r="C6" s="160"/>
      <c r="D6" s="161"/>
      <c r="E6" s="166"/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37</v>
      </c>
      <c r="N6" s="10" t="s">
        <v>38</v>
      </c>
      <c r="O6" s="10" t="s">
        <v>39</v>
      </c>
      <c r="P6" s="10" t="s">
        <v>40</v>
      </c>
      <c r="Q6" s="10" t="s">
        <v>41</v>
      </c>
      <c r="R6" s="12" t="s">
        <v>0</v>
      </c>
    </row>
    <row r="7" spans="1:18" ht="10.5" customHeight="1" thickBot="1" x14ac:dyDescent="0.3">
      <c r="A7" s="162"/>
      <c r="B7" s="163"/>
      <c r="C7" s="163"/>
      <c r="D7" s="164"/>
      <c r="E7" s="16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4"/>
    </row>
    <row r="8" spans="1:18" ht="6.75" customHeight="1" thickBot="1" x14ac:dyDescent="0.3">
      <c r="A8" s="44"/>
      <c r="B8" s="13"/>
      <c r="C8" s="13"/>
      <c r="D8" s="13"/>
      <c r="E8" s="15"/>
      <c r="F8" s="45"/>
      <c r="G8" s="45"/>
      <c r="H8" s="45"/>
      <c r="I8" s="45"/>
      <c r="J8" s="45"/>
      <c r="K8" s="45"/>
      <c r="L8" s="45"/>
      <c r="M8" s="45"/>
      <c r="N8" s="46"/>
      <c r="O8" s="21"/>
      <c r="P8" s="21"/>
      <c r="Q8" s="46"/>
      <c r="R8" s="14"/>
    </row>
    <row r="9" spans="1:18" ht="16.5" customHeight="1" thickBot="1" x14ac:dyDescent="0.5">
      <c r="A9" s="47" t="s">
        <v>60</v>
      </c>
      <c r="B9" s="48"/>
      <c r="C9" s="48"/>
      <c r="D9" s="48"/>
      <c r="E9" s="49"/>
      <c r="F9" s="50">
        <f t="shared" ref="F9:L9" si="0">+F10+F39+F42</f>
        <v>29778690.75</v>
      </c>
      <c r="G9" s="50">
        <f t="shared" si="0"/>
        <v>29523686.189999998</v>
      </c>
      <c r="H9" s="50">
        <f t="shared" si="0"/>
        <v>31978131.359999999</v>
      </c>
      <c r="I9" s="50">
        <f t="shared" si="0"/>
        <v>32079727.909999996</v>
      </c>
      <c r="J9" s="50">
        <f t="shared" si="0"/>
        <v>59478168.989999965</v>
      </c>
      <c r="K9" s="50">
        <f t="shared" si="0"/>
        <v>31681860.939999998</v>
      </c>
      <c r="L9" s="50">
        <f t="shared" si="0"/>
        <v>31989929.390000015</v>
      </c>
      <c r="M9" s="50">
        <f>+M10+M39+M42</f>
        <v>35080416.369999997</v>
      </c>
      <c r="N9" s="50">
        <f t="shared" ref="N9:Q9" si="1">+N10+N39+N42</f>
        <v>31704797.009999998</v>
      </c>
      <c r="O9" s="50">
        <f>+O10+O39+O42</f>
        <v>40958455.739999995</v>
      </c>
      <c r="P9" s="50">
        <f>+P10+P39+P42</f>
        <v>38494075.840000004</v>
      </c>
      <c r="Q9" s="50">
        <f t="shared" si="1"/>
        <v>44322245.409999996</v>
      </c>
      <c r="R9" s="51">
        <f>SUM(F9:Q9)</f>
        <v>437070185.89999998</v>
      </c>
    </row>
    <row r="10" spans="1:18" ht="16.5" customHeight="1" x14ac:dyDescent="0.45">
      <c r="A10" s="52" t="s">
        <v>61</v>
      </c>
      <c r="B10" s="53"/>
      <c r="C10" s="53"/>
      <c r="D10" s="53"/>
      <c r="E10" s="54"/>
      <c r="F10" s="55">
        <f t="shared" ref="F10:L10" si="2">+SUM(F11:F38)-F13-F14-F21-F23-F24-F25</f>
        <v>29778690.75</v>
      </c>
      <c r="G10" s="55">
        <f t="shared" si="2"/>
        <v>29523686.189999998</v>
      </c>
      <c r="H10" s="55">
        <f t="shared" si="2"/>
        <v>31978131.359999999</v>
      </c>
      <c r="I10" s="55">
        <f t="shared" si="2"/>
        <v>32079727.909999996</v>
      </c>
      <c r="J10" s="55">
        <f t="shared" si="2"/>
        <v>59478168.989999965</v>
      </c>
      <c r="K10" s="55">
        <f t="shared" si="2"/>
        <v>31681860.939999998</v>
      </c>
      <c r="L10" s="55">
        <f t="shared" si="2"/>
        <v>31989929.390000015</v>
      </c>
      <c r="M10" s="55">
        <f>+SUM(M11:M38)-M13-M14-M21-M23-M24-M25</f>
        <v>35080416.369999997</v>
      </c>
      <c r="N10" s="55">
        <f t="shared" ref="N10:Q10" si="3">+SUM(N11:N38)-N13-N14-N21-N23-N24-N25</f>
        <v>31704797.009999998</v>
      </c>
      <c r="O10" s="55">
        <f t="shared" si="3"/>
        <v>40958455.739999995</v>
      </c>
      <c r="P10" s="55">
        <f>+SUM(P11:P38)-P13-P14-P21-P23-P24-P25</f>
        <v>38494075.840000004</v>
      </c>
      <c r="Q10" s="55">
        <f t="shared" si="3"/>
        <v>44322245.409999996</v>
      </c>
      <c r="R10" s="25">
        <f t="shared" ref="R10:R80" si="4">SUM(F10:Q10)</f>
        <v>437070185.89999998</v>
      </c>
    </row>
    <row r="11" spans="1:18" ht="13.5" customHeight="1" x14ac:dyDescent="0.3">
      <c r="A11" s="56"/>
      <c r="B11" s="57" t="s">
        <v>62</v>
      </c>
      <c r="C11" s="5" t="s">
        <v>2</v>
      </c>
      <c r="D11" s="5"/>
      <c r="E11" s="16">
        <v>501</v>
      </c>
      <c r="F11" s="59">
        <v>2713888.83</v>
      </c>
      <c r="G11" s="59">
        <v>3606762.82</v>
      </c>
      <c r="H11" s="59">
        <v>4435627.54</v>
      </c>
      <c r="I11" s="59">
        <v>4274933.7</v>
      </c>
      <c r="J11" s="59">
        <v>4097171.75</v>
      </c>
      <c r="K11" s="59">
        <v>4537663.7699999996</v>
      </c>
      <c r="L11" s="59">
        <v>3922616.08</v>
      </c>
      <c r="M11" s="59">
        <v>4125721.12</v>
      </c>
      <c r="N11" s="59">
        <v>4416782.21</v>
      </c>
      <c r="O11" s="59">
        <v>5988423.2800000003</v>
      </c>
      <c r="P11" s="59">
        <v>6321944.7599999998</v>
      </c>
      <c r="Q11" s="59">
        <v>6045611.8600000003</v>
      </c>
      <c r="R11" s="58">
        <f t="shared" si="4"/>
        <v>54487147.719999999</v>
      </c>
    </row>
    <row r="12" spans="1:18" ht="13.8" x14ac:dyDescent="0.3">
      <c r="A12" s="60"/>
      <c r="B12" s="61" t="s">
        <v>63</v>
      </c>
      <c r="C12" s="4" t="s">
        <v>64</v>
      </c>
      <c r="D12" s="4"/>
      <c r="E12" s="17">
        <v>502</v>
      </c>
      <c r="F12" s="62">
        <v>783202.04</v>
      </c>
      <c r="G12" s="62">
        <v>829326.67</v>
      </c>
      <c r="H12" s="62">
        <v>712470.78</v>
      </c>
      <c r="I12" s="62">
        <v>707236.16</v>
      </c>
      <c r="J12" s="62">
        <v>598561.80000000005</v>
      </c>
      <c r="K12" s="62">
        <v>532362.38</v>
      </c>
      <c r="L12" s="62">
        <v>511160.89</v>
      </c>
      <c r="M12" s="62">
        <v>515882.13</v>
      </c>
      <c r="N12" s="62">
        <v>572100.32999999996</v>
      </c>
      <c r="O12" s="62">
        <v>607894.43000000005</v>
      </c>
      <c r="P12" s="62">
        <v>697919.08</v>
      </c>
      <c r="Q12" s="62">
        <v>999552.23</v>
      </c>
      <c r="R12" s="63">
        <f t="shared" si="4"/>
        <v>8067668.9199999999</v>
      </c>
    </row>
    <row r="13" spans="1:18" ht="13.8" x14ac:dyDescent="0.3">
      <c r="A13" s="60"/>
      <c r="B13" s="61"/>
      <c r="C13" s="64" t="s">
        <v>65</v>
      </c>
      <c r="D13" s="65" t="s">
        <v>66</v>
      </c>
      <c r="E13" s="17"/>
      <c r="F13" s="62">
        <f>309175.3+2144.76</f>
        <v>311320.06</v>
      </c>
      <c r="G13" s="62">
        <f>31306.21+282046.85</f>
        <v>313353.06</v>
      </c>
      <c r="H13" s="62">
        <f>27859.66+267155.53</f>
        <v>295015.19</v>
      </c>
      <c r="I13" s="62">
        <f>1919.887+273668.93</f>
        <v>275588.81699999998</v>
      </c>
      <c r="J13" s="62">
        <v>270830.54000000004</v>
      </c>
      <c r="K13" s="62">
        <f>29207.71+231528.25</f>
        <v>260735.96</v>
      </c>
      <c r="L13" s="62">
        <f>1785.43+266199.55</f>
        <v>267984.98</v>
      </c>
      <c r="M13" s="62">
        <f>266049.08+1656.29</f>
        <v>267705.37</v>
      </c>
      <c r="N13" s="62">
        <f>247628.16+29934.87</f>
        <v>277563.03000000003</v>
      </c>
      <c r="O13" s="62">
        <f>293501.31+1798.75</f>
        <v>295300.06</v>
      </c>
      <c r="P13" s="62">
        <f>26730.25+1356.3</f>
        <v>28086.55</v>
      </c>
      <c r="Q13" s="62"/>
      <c r="R13" s="63">
        <f t="shared" si="4"/>
        <v>2863483.6170000001</v>
      </c>
    </row>
    <row r="14" spans="1:18" ht="13.8" x14ac:dyDescent="0.3">
      <c r="A14" s="60"/>
      <c r="B14" s="61"/>
      <c r="C14" s="64"/>
      <c r="D14" s="65" t="s">
        <v>67</v>
      </c>
      <c r="E14" s="17"/>
      <c r="F14" s="62">
        <f>23133.22+448748.76</f>
        <v>471881.98</v>
      </c>
      <c r="G14" s="62">
        <f>421871.34+20329.84</f>
        <v>442201.18000000005</v>
      </c>
      <c r="H14" s="62">
        <f>345204.93+33842.59</f>
        <v>379047.52</v>
      </c>
      <c r="I14" s="62">
        <f>14996.56+394223.5</f>
        <v>409220.06</v>
      </c>
      <c r="J14" s="62">
        <v>285814.00999999995</v>
      </c>
      <c r="K14" s="62">
        <f>169502.46+26910.99</f>
        <v>196413.44999999998</v>
      </c>
      <c r="L14" s="62">
        <f>195945.75+5609.37</f>
        <v>201555.12</v>
      </c>
      <c r="M14" s="62">
        <f>5565.09+208211.3</f>
        <v>213776.38999999998</v>
      </c>
      <c r="N14" s="62">
        <f>30549.26+227371.94</f>
        <v>257921.2</v>
      </c>
      <c r="O14" s="113">
        <f>267778.39</f>
        <v>267778.39</v>
      </c>
      <c r="P14" s="62">
        <f>29100.31+364141.65</f>
        <v>393241.96</v>
      </c>
      <c r="Q14" s="113"/>
      <c r="R14" s="63">
        <f t="shared" si="4"/>
        <v>3518851.2600000007</v>
      </c>
    </row>
    <row r="15" spans="1:18" ht="13.8" x14ac:dyDescent="0.3">
      <c r="A15" s="60"/>
      <c r="B15" s="61" t="s">
        <v>68</v>
      </c>
      <c r="C15" s="114" t="s">
        <v>111</v>
      </c>
      <c r="D15" s="4"/>
      <c r="E15" s="17">
        <v>506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/>
      <c r="R15" s="63">
        <f t="shared" si="4"/>
        <v>0</v>
      </c>
    </row>
    <row r="16" spans="1:18" ht="13.8" x14ac:dyDescent="0.3">
      <c r="A16" s="60"/>
      <c r="B16" s="61" t="s">
        <v>69</v>
      </c>
      <c r="C16" s="4" t="s">
        <v>3</v>
      </c>
      <c r="D16" s="4"/>
      <c r="E16" s="17">
        <v>504</v>
      </c>
      <c r="F16" s="62">
        <v>38209.46</v>
      </c>
      <c r="G16" s="62">
        <v>47931.06</v>
      </c>
      <c r="H16" s="62">
        <v>51025.06</v>
      </c>
      <c r="I16" s="62">
        <v>48743.360000000001</v>
      </c>
      <c r="J16" s="62">
        <v>42199.92</v>
      </c>
      <c r="K16" s="62">
        <v>50594.79</v>
      </c>
      <c r="L16" s="62">
        <v>47673.25</v>
      </c>
      <c r="M16" s="62">
        <v>45868.98</v>
      </c>
      <c r="N16" s="62">
        <v>41634.620000000003</v>
      </c>
      <c r="O16" s="62">
        <v>39138</v>
      </c>
      <c r="P16" s="62">
        <v>36410.730000000003</v>
      </c>
      <c r="Q16" s="62">
        <v>38871.22</v>
      </c>
      <c r="R16" s="63">
        <f t="shared" si="4"/>
        <v>528300.44999999995</v>
      </c>
    </row>
    <row r="17" spans="1:18" ht="13.8" x14ac:dyDescent="0.3">
      <c r="A17" s="60"/>
      <c r="B17" s="61" t="s">
        <v>70</v>
      </c>
      <c r="C17" s="4" t="s">
        <v>4</v>
      </c>
      <c r="D17" s="4"/>
      <c r="E17" s="17">
        <v>511</v>
      </c>
      <c r="F17" s="62">
        <v>74934.45</v>
      </c>
      <c r="G17" s="62">
        <v>30462.01</v>
      </c>
      <c r="H17" s="62">
        <v>57380.03</v>
      </c>
      <c r="I17" s="62">
        <v>124112.04</v>
      </c>
      <c r="J17" s="62">
        <v>198335.31</v>
      </c>
      <c r="K17" s="62">
        <v>135291.42000000001</v>
      </c>
      <c r="L17" s="62">
        <v>64348.24</v>
      </c>
      <c r="M17" s="62">
        <v>200598.7</v>
      </c>
      <c r="N17" s="62">
        <v>285839.5</v>
      </c>
      <c r="O17" s="62">
        <v>1440756.24</v>
      </c>
      <c r="P17" s="62">
        <v>1357951.58</v>
      </c>
      <c r="Q17" s="62">
        <v>2123398.7799999998</v>
      </c>
      <c r="R17" s="63">
        <f t="shared" si="4"/>
        <v>6093408.2999999998</v>
      </c>
    </row>
    <row r="18" spans="1:18" ht="13.5" customHeight="1" x14ac:dyDescent="0.3">
      <c r="A18" s="60"/>
      <c r="B18" s="61" t="s">
        <v>72</v>
      </c>
      <c r="C18" s="4" t="s">
        <v>5</v>
      </c>
      <c r="D18" s="4"/>
      <c r="E18" s="17">
        <v>512</v>
      </c>
      <c r="F18" s="62">
        <v>0</v>
      </c>
      <c r="G18" s="62">
        <v>1820</v>
      </c>
      <c r="H18" s="62">
        <v>1820</v>
      </c>
      <c r="I18" s="62">
        <v>5582</v>
      </c>
      <c r="J18" s="62">
        <v>7016</v>
      </c>
      <c r="K18" s="62">
        <v>32532</v>
      </c>
      <c r="L18" s="62">
        <v>4298</v>
      </c>
      <c r="M18" s="62">
        <v>1820</v>
      </c>
      <c r="N18" s="62">
        <v>2974</v>
      </c>
      <c r="O18" s="62">
        <v>19321</v>
      </c>
      <c r="P18" s="62">
        <v>54558</v>
      </c>
      <c r="Q18" s="62">
        <v>8581</v>
      </c>
      <c r="R18" s="63">
        <f t="shared" si="4"/>
        <v>140322</v>
      </c>
    </row>
    <row r="19" spans="1:18" ht="13.8" x14ac:dyDescent="0.3">
      <c r="A19" s="60"/>
      <c r="B19" s="61" t="s">
        <v>8</v>
      </c>
      <c r="C19" s="4" t="s">
        <v>6</v>
      </c>
      <c r="D19" s="4"/>
      <c r="E19" s="17">
        <v>513</v>
      </c>
      <c r="F19" s="62">
        <v>0</v>
      </c>
      <c r="G19" s="62">
        <v>184</v>
      </c>
      <c r="H19" s="62">
        <v>2444.9</v>
      </c>
      <c r="I19" s="62">
        <v>377</v>
      </c>
      <c r="J19" s="62">
        <v>92</v>
      </c>
      <c r="K19" s="62">
        <v>2815</v>
      </c>
      <c r="L19" s="62">
        <v>92</v>
      </c>
      <c r="M19" s="62">
        <v>1108</v>
      </c>
      <c r="N19" s="62">
        <v>3092</v>
      </c>
      <c r="O19" s="62">
        <v>3615</v>
      </c>
      <c r="P19" s="62">
        <v>1367.6</v>
      </c>
      <c r="Q19" s="62">
        <v>5088.5</v>
      </c>
      <c r="R19" s="63">
        <f t="shared" si="4"/>
        <v>20276</v>
      </c>
    </row>
    <row r="20" spans="1:18" ht="13.8" x14ac:dyDescent="0.3">
      <c r="A20" s="60"/>
      <c r="B20" s="61" t="s">
        <v>10</v>
      </c>
      <c r="C20" s="4" t="s">
        <v>7</v>
      </c>
      <c r="D20" s="4"/>
      <c r="E20" s="17">
        <v>518</v>
      </c>
      <c r="F20" s="62">
        <v>1251381.67</v>
      </c>
      <c r="G20" s="62">
        <v>440999.03</v>
      </c>
      <c r="H20" s="62">
        <v>443110.88</v>
      </c>
      <c r="I20" s="62">
        <v>633830.9</v>
      </c>
      <c r="J20" s="62">
        <v>567888.31999999995</v>
      </c>
      <c r="K20" s="62">
        <v>767266.7</v>
      </c>
      <c r="L20" s="62">
        <v>743945.45</v>
      </c>
      <c r="M20" s="62">
        <v>769580</v>
      </c>
      <c r="N20" s="62">
        <v>767316.99</v>
      </c>
      <c r="O20" s="62">
        <v>924735.88</v>
      </c>
      <c r="P20" s="62">
        <v>804882.48</v>
      </c>
      <c r="Q20" s="62">
        <v>1469252.94</v>
      </c>
      <c r="R20" s="63">
        <f t="shared" si="4"/>
        <v>9584191.2400000002</v>
      </c>
    </row>
    <row r="21" spans="1:18" ht="13.8" x14ac:dyDescent="0.3">
      <c r="A21" s="60"/>
      <c r="B21" s="61"/>
      <c r="C21" s="64" t="s">
        <v>65</v>
      </c>
      <c r="D21" s="65" t="s">
        <v>74</v>
      </c>
      <c r="E21" s="17"/>
      <c r="F21" s="62">
        <v>9124.39</v>
      </c>
      <c r="G21" s="62">
        <v>8465.5</v>
      </c>
      <c r="H21" s="62">
        <f>8577.28+109.9</f>
        <v>8687.18</v>
      </c>
      <c r="I21" s="62">
        <v>8533.7800000000007</v>
      </c>
      <c r="J21" s="62">
        <v>8049.95</v>
      </c>
      <c r="K21" s="62">
        <f>8852.42+46.61</f>
        <v>8899.0300000000007</v>
      </c>
      <c r="L21" s="62">
        <v>7767.23</v>
      </c>
      <c r="M21" s="62">
        <v>7838.08</v>
      </c>
      <c r="N21" s="62">
        <f>7842.44+22.76</f>
        <v>7865.2</v>
      </c>
      <c r="O21" s="62">
        <v>7765.92</v>
      </c>
      <c r="P21" s="62">
        <v>8745.26</v>
      </c>
      <c r="Q21" s="62"/>
      <c r="R21" s="63">
        <f t="shared" si="4"/>
        <v>91741.51999999999</v>
      </c>
    </row>
    <row r="22" spans="1:18" ht="13.8" x14ac:dyDescent="0.3">
      <c r="A22" s="60"/>
      <c r="B22" s="61" t="s">
        <v>11</v>
      </c>
      <c r="C22" s="4" t="s">
        <v>9</v>
      </c>
      <c r="D22" s="4"/>
      <c r="E22" s="17">
        <v>521</v>
      </c>
      <c r="F22" s="62">
        <f t="shared" ref="F22:L22" si="5">+F23+F24+F25</f>
        <v>16982860</v>
      </c>
      <c r="G22" s="62">
        <f t="shared" si="5"/>
        <v>16665291</v>
      </c>
      <c r="H22" s="62">
        <f t="shared" si="5"/>
        <v>16879301</v>
      </c>
      <c r="I22" s="62">
        <f t="shared" si="5"/>
        <v>17877474</v>
      </c>
      <c r="J22" s="62">
        <f t="shared" si="5"/>
        <v>38153538</v>
      </c>
      <c r="K22" s="62">
        <f t="shared" si="5"/>
        <v>17347384</v>
      </c>
      <c r="L22" s="62">
        <f t="shared" si="5"/>
        <v>18181203</v>
      </c>
      <c r="M22" s="62">
        <f>+M23+M24+M25</f>
        <v>20263900</v>
      </c>
      <c r="N22" s="62">
        <f t="shared" ref="N22:Q22" si="6">+N23+N24+N25</f>
        <v>17214804</v>
      </c>
      <c r="O22" s="62">
        <f t="shared" si="6"/>
        <v>20116602</v>
      </c>
      <c r="P22" s="62">
        <f>+P23+P24+P25</f>
        <v>18752261</v>
      </c>
      <c r="Q22" s="62">
        <f t="shared" si="6"/>
        <v>21549762</v>
      </c>
      <c r="R22" s="63">
        <f t="shared" si="4"/>
        <v>239984380</v>
      </c>
    </row>
    <row r="23" spans="1:18" ht="13.8" x14ac:dyDescent="0.3">
      <c r="A23" s="60"/>
      <c r="B23" s="67"/>
      <c r="C23" s="64" t="s">
        <v>65</v>
      </c>
      <c r="D23" s="64" t="s">
        <v>75</v>
      </c>
      <c r="E23" s="17"/>
      <c r="F23" s="62">
        <v>16358294</v>
      </c>
      <c r="G23" s="62">
        <v>16145181</v>
      </c>
      <c r="H23" s="62">
        <f>183425.6+16140607.4</f>
        <v>16324033</v>
      </c>
      <c r="I23" s="62">
        <v>17338467</v>
      </c>
      <c r="J23" s="62">
        <v>37631029</v>
      </c>
      <c r="K23" s="62">
        <f>198901.81+16686337.19</f>
        <v>16885239</v>
      </c>
      <c r="L23" s="62">
        <v>17577544</v>
      </c>
      <c r="M23" s="62">
        <v>19575607</v>
      </c>
      <c r="N23" s="62">
        <f>246232.19+16411677.81</f>
        <v>16657910</v>
      </c>
      <c r="O23" s="62">
        <v>19545081</v>
      </c>
      <c r="P23" s="113">
        <v>17975326</v>
      </c>
      <c r="Q23" s="62">
        <f>210291.31+20728792.69</f>
        <v>20939084</v>
      </c>
      <c r="R23" s="63">
        <f t="shared" si="4"/>
        <v>232952795</v>
      </c>
    </row>
    <row r="24" spans="1:18" ht="13.8" x14ac:dyDescent="0.3">
      <c r="A24" s="60"/>
      <c r="B24" s="67"/>
      <c r="C24" s="64"/>
      <c r="D24" s="64" t="s">
        <v>76</v>
      </c>
      <c r="E24" s="17"/>
      <c r="F24" s="62">
        <v>308295</v>
      </c>
      <c r="G24" s="62">
        <v>364661</v>
      </c>
      <c r="H24" s="62">
        <f>6187.58+399763.42</f>
        <v>405951</v>
      </c>
      <c r="I24" s="62">
        <v>421992</v>
      </c>
      <c r="J24" s="113">
        <v>406966</v>
      </c>
      <c r="K24" s="62">
        <f>18391.52+328286.48</f>
        <v>346678</v>
      </c>
      <c r="L24" s="62">
        <v>567858</v>
      </c>
      <c r="M24" s="62">
        <v>639687</v>
      </c>
      <c r="N24" s="62">
        <f>367183.66+15060.34</f>
        <v>382244</v>
      </c>
      <c r="O24" s="62">
        <v>410564</v>
      </c>
      <c r="P24" s="62">
        <v>438406</v>
      </c>
      <c r="Q24" s="62">
        <f>13283.11+424591.89</f>
        <v>437875</v>
      </c>
      <c r="R24" s="63">
        <f t="shared" si="4"/>
        <v>5131177</v>
      </c>
    </row>
    <row r="25" spans="1:18" ht="13.8" x14ac:dyDescent="0.3">
      <c r="A25" s="60"/>
      <c r="B25" s="67"/>
      <c r="C25" s="64"/>
      <c r="D25" s="64" t="s">
        <v>77</v>
      </c>
      <c r="E25" s="17"/>
      <c r="F25" s="62">
        <v>316271</v>
      </c>
      <c r="G25" s="62">
        <v>155449</v>
      </c>
      <c r="H25" s="62">
        <f>147782.54+1534.46</f>
        <v>149317</v>
      </c>
      <c r="I25" s="62">
        <v>117015</v>
      </c>
      <c r="J25" s="62">
        <v>115543</v>
      </c>
      <c r="K25" s="62">
        <f>115308.98+158.02</f>
        <v>115467</v>
      </c>
      <c r="L25" s="62">
        <v>35801</v>
      </c>
      <c r="M25" s="62">
        <v>48606</v>
      </c>
      <c r="N25" s="113">
        <f>924.18+173725.82</f>
        <v>174650</v>
      </c>
      <c r="O25" s="62">
        <v>160957</v>
      </c>
      <c r="P25" s="62">
        <v>338529</v>
      </c>
      <c r="Q25" s="62">
        <f>3056.37+169746.63</f>
        <v>172803</v>
      </c>
      <c r="R25" s="63">
        <f t="shared" si="4"/>
        <v>1900408</v>
      </c>
    </row>
    <row r="26" spans="1:18" ht="13.5" customHeight="1" x14ac:dyDescent="0.3">
      <c r="A26" s="60"/>
      <c r="B26" s="61" t="s">
        <v>13</v>
      </c>
      <c r="C26" s="4" t="s">
        <v>12</v>
      </c>
      <c r="D26" s="4"/>
      <c r="E26" s="17">
        <v>524</v>
      </c>
      <c r="F26" s="62">
        <v>5598389</v>
      </c>
      <c r="G26" s="62">
        <v>5532062</v>
      </c>
      <c r="H26" s="62">
        <v>5603968</v>
      </c>
      <c r="I26" s="62">
        <v>5951185</v>
      </c>
      <c r="J26" s="62">
        <v>12821134</v>
      </c>
      <c r="K26" s="62">
        <v>5783720</v>
      </c>
      <c r="L26" s="62">
        <v>6092871</v>
      </c>
      <c r="M26" s="62">
        <v>6795023</v>
      </c>
      <c r="N26" s="113">
        <v>5715771</v>
      </c>
      <c r="O26" s="62">
        <v>6689541</v>
      </c>
      <c r="P26" s="62">
        <v>6138311</v>
      </c>
      <c r="Q26" s="62">
        <v>7065697</v>
      </c>
      <c r="R26" s="63">
        <f t="shared" si="4"/>
        <v>79787672</v>
      </c>
    </row>
    <row r="27" spans="1:18" ht="13.8" x14ac:dyDescent="0.3">
      <c r="A27" s="60"/>
      <c r="B27" s="61" t="s">
        <v>14</v>
      </c>
      <c r="C27" s="4" t="s">
        <v>50</v>
      </c>
      <c r="D27" s="4"/>
      <c r="E27" s="17">
        <v>525</v>
      </c>
      <c r="F27" s="62">
        <v>69565.710000000006</v>
      </c>
      <c r="G27" s="62">
        <v>68741.62</v>
      </c>
      <c r="H27" s="62">
        <v>69635.67</v>
      </c>
      <c r="I27" s="62">
        <v>73949.679999999993</v>
      </c>
      <c r="J27" s="62">
        <v>159315.69</v>
      </c>
      <c r="K27" s="62">
        <v>71869.63</v>
      </c>
      <c r="L27" s="62">
        <v>75710.31</v>
      </c>
      <c r="M27" s="62">
        <v>84435.11</v>
      </c>
      <c r="N27" s="62">
        <v>71024.58</v>
      </c>
      <c r="O27" s="62">
        <v>83368.98</v>
      </c>
      <c r="P27" s="62">
        <v>77006.84</v>
      </c>
      <c r="Q27" s="62">
        <v>89451.17</v>
      </c>
      <c r="R27" s="63">
        <f t="shared" si="4"/>
        <v>994074.99</v>
      </c>
    </row>
    <row r="28" spans="1:18" ht="13.8" x14ac:dyDescent="0.3">
      <c r="A28" s="60"/>
      <c r="B28" s="61" t="s">
        <v>15</v>
      </c>
      <c r="C28" s="4" t="s">
        <v>54</v>
      </c>
      <c r="D28" s="4"/>
      <c r="E28" s="17">
        <v>527</v>
      </c>
      <c r="F28" s="62">
        <v>1018377.06</v>
      </c>
      <c r="G28" s="62">
        <v>1064623.24</v>
      </c>
      <c r="H28" s="62">
        <v>2466392.36</v>
      </c>
      <c r="I28" s="62">
        <v>1114073.96</v>
      </c>
      <c r="J28" s="62">
        <v>1540570.08</v>
      </c>
      <c r="K28" s="62">
        <v>1062184.57</v>
      </c>
      <c r="L28" s="113">
        <v>1008027.6</v>
      </c>
      <c r="M28" s="62">
        <v>928633.19</v>
      </c>
      <c r="N28" s="62">
        <v>1058210.49</v>
      </c>
      <c r="O28" s="62">
        <v>1337743.6399999999</v>
      </c>
      <c r="P28" s="62">
        <v>1414424.28</v>
      </c>
      <c r="Q28" s="62">
        <v>914778.75</v>
      </c>
      <c r="R28" s="63">
        <f t="shared" si="4"/>
        <v>14928039.220000001</v>
      </c>
    </row>
    <row r="29" spans="1:18" ht="13.8" x14ac:dyDescent="0.3">
      <c r="A29" s="60"/>
      <c r="B29" s="61" t="s">
        <v>16</v>
      </c>
      <c r="C29" s="4" t="s">
        <v>55</v>
      </c>
      <c r="D29" s="4"/>
      <c r="E29" s="17">
        <v>528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/>
      <c r="R29" s="63">
        <f t="shared" si="4"/>
        <v>0</v>
      </c>
    </row>
    <row r="30" spans="1:18" ht="13.8" x14ac:dyDescent="0.3">
      <c r="A30" s="60"/>
      <c r="B30" s="61" t="s">
        <v>78</v>
      </c>
      <c r="C30" s="4" t="s">
        <v>79</v>
      </c>
      <c r="D30" s="4"/>
      <c r="E30" s="17" t="s">
        <v>28</v>
      </c>
      <c r="F30" s="62">
        <v>11520.51</v>
      </c>
      <c r="G30" s="62">
        <v>2344</v>
      </c>
      <c r="H30" s="62">
        <v>8145</v>
      </c>
      <c r="I30" s="62">
        <v>2384</v>
      </c>
      <c r="J30" s="62">
        <v>2400</v>
      </c>
      <c r="K30" s="62">
        <v>2996</v>
      </c>
      <c r="L30" s="62">
        <v>6716.85</v>
      </c>
      <c r="M30" s="62">
        <v>2176</v>
      </c>
      <c r="N30" s="62">
        <v>3448</v>
      </c>
      <c r="O30" s="62">
        <v>3000</v>
      </c>
      <c r="P30" s="62">
        <v>3159</v>
      </c>
      <c r="Q30" s="62">
        <f>23645+123183</f>
        <v>146828</v>
      </c>
      <c r="R30" s="63">
        <f t="shared" si="4"/>
        <v>195117.36</v>
      </c>
    </row>
    <row r="31" spans="1:18" ht="13.8" x14ac:dyDescent="0.3">
      <c r="A31" s="60"/>
      <c r="B31" s="61" t="s">
        <v>17</v>
      </c>
      <c r="C31" s="4" t="s">
        <v>51</v>
      </c>
      <c r="D31" s="4"/>
      <c r="E31" s="17">
        <v>544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8"/>
      <c r="R31" s="69">
        <f t="shared" si="4"/>
        <v>0</v>
      </c>
    </row>
    <row r="32" spans="1:18" ht="13.8" x14ac:dyDescent="0.3">
      <c r="A32" s="60"/>
      <c r="B32" s="61" t="s">
        <v>18</v>
      </c>
      <c r="C32" s="4" t="s">
        <v>26</v>
      </c>
      <c r="D32" s="4"/>
      <c r="E32" s="17" t="s">
        <v>110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121.67</v>
      </c>
      <c r="N32" s="62">
        <v>0</v>
      </c>
      <c r="O32" s="62">
        <v>0</v>
      </c>
      <c r="P32" s="62">
        <v>0</v>
      </c>
      <c r="Q32" s="68"/>
      <c r="R32" s="69">
        <f t="shared" si="4"/>
        <v>121.67</v>
      </c>
    </row>
    <row r="33" spans="1:18" ht="13.8" x14ac:dyDescent="0.3">
      <c r="A33" s="60"/>
      <c r="B33" s="61" t="s">
        <v>19</v>
      </c>
      <c r="C33" s="4" t="s">
        <v>80</v>
      </c>
      <c r="D33" s="4"/>
      <c r="E33" s="17">
        <v>548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8"/>
      <c r="R33" s="69">
        <f t="shared" si="4"/>
        <v>0</v>
      </c>
    </row>
    <row r="34" spans="1:18" ht="13.8" x14ac:dyDescent="0.3">
      <c r="A34" s="60"/>
      <c r="B34" s="61" t="s">
        <v>25</v>
      </c>
      <c r="C34" s="4" t="s">
        <v>52</v>
      </c>
      <c r="D34" s="4"/>
      <c r="E34" s="17">
        <v>549</v>
      </c>
      <c r="F34" s="62">
        <v>3226.02</v>
      </c>
      <c r="G34" s="62">
        <v>2.74</v>
      </c>
      <c r="H34" s="62">
        <v>7.44</v>
      </c>
      <c r="I34" s="62">
        <v>11227.78</v>
      </c>
      <c r="J34" s="62">
        <v>5.0199999999999996</v>
      </c>
      <c r="K34" s="62">
        <v>277.43</v>
      </c>
      <c r="L34" s="62">
        <v>6.32</v>
      </c>
      <c r="M34" s="62">
        <v>3.47</v>
      </c>
      <c r="N34" s="62">
        <v>9.6999999999999993</v>
      </c>
      <c r="O34" s="62">
        <v>5.03</v>
      </c>
      <c r="P34" s="62">
        <v>172.19</v>
      </c>
      <c r="Q34" s="62">
        <v>138</v>
      </c>
      <c r="R34" s="69">
        <f t="shared" si="4"/>
        <v>15081.140000000001</v>
      </c>
    </row>
    <row r="35" spans="1:18" ht="13.8" x14ac:dyDescent="0.3">
      <c r="A35" s="70"/>
      <c r="B35" s="61" t="s">
        <v>20</v>
      </c>
      <c r="C35" s="4" t="s">
        <v>53</v>
      </c>
      <c r="D35" s="4"/>
      <c r="E35" s="17">
        <v>551</v>
      </c>
      <c r="F35" s="62">
        <v>1233136</v>
      </c>
      <c r="G35" s="62">
        <v>1233136</v>
      </c>
      <c r="H35" s="62">
        <v>1249836</v>
      </c>
      <c r="I35" s="62">
        <v>1249836</v>
      </c>
      <c r="J35" s="62">
        <v>1249836</v>
      </c>
      <c r="K35" s="62">
        <v>1306568</v>
      </c>
      <c r="L35" s="62">
        <v>1307020.3999999999</v>
      </c>
      <c r="M35" s="62">
        <v>1306870</v>
      </c>
      <c r="N35" s="62">
        <v>1315057</v>
      </c>
      <c r="O35" s="62">
        <v>1311485</v>
      </c>
      <c r="P35" s="62">
        <v>1313684</v>
      </c>
      <c r="Q35" s="62">
        <v>1325956.3</v>
      </c>
      <c r="R35" s="69">
        <f t="shared" si="4"/>
        <v>15402420.700000001</v>
      </c>
    </row>
    <row r="36" spans="1:18" ht="13.8" x14ac:dyDescent="0.3">
      <c r="A36" s="70"/>
      <c r="B36" s="61" t="s">
        <v>23</v>
      </c>
      <c r="C36" s="66" t="s">
        <v>81</v>
      </c>
      <c r="D36" s="4"/>
      <c r="E36" s="17">
        <v>557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4204</v>
      </c>
      <c r="R36" s="69">
        <f t="shared" si="4"/>
        <v>4204</v>
      </c>
    </row>
    <row r="37" spans="1:18" ht="13.8" x14ac:dyDescent="0.3">
      <c r="A37" s="70"/>
      <c r="B37" s="61" t="s">
        <v>24</v>
      </c>
      <c r="C37" s="66" t="s">
        <v>82</v>
      </c>
      <c r="D37" s="4"/>
      <c r="E37" s="17">
        <v>558</v>
      </c>
      <c r="F37" s="113">
        <v>0</v>
      </c>
      <c r="G37" s="113">
        <v>0</v>
      </c>
      <c r="H37" s="62">
        <v>-3033.3</v>
      </c>
      <c r="I37" s="62">
        <v>4782.33</v>
      </c>
      <c r="J37" s="62">
        <v>40105.1</v>
      </c>
      <c r="K37" s="62">
        <v>48335.25</v>
      </c>
      <c r="L37" s="62">
        <v>24240</v>
      </c>
      <c r="M37" s="62">
        <v>38675</v>
      </c>
      <c r="N37" s="62">
        <v>236732.59</v>
      </c>
      <c r="O37" s="62">
        <v>2392826.2599999998</v>
      </c>
      <c r="P37" s="62">
        <v>1520023.3</v>
      </c>
      <c r="Q37" s="62">
        <v>2535980.66</v>
      </c>
      <c r="R37" s="69">
        <f t="shared" si="4"/>
        <v>6838667.1899999995</v>
      </c>
    </row>
    <row r="38" spans="1:18" ht="13.8" x14ac:dyDescent="0.3">
      <c r="A38" s="70"/>
      <c r="B38" s="61" t="s">
        <v>25</v>
      </c>
      <c r="C38" s="71" t="s">
        <v>83</v>
      </c>
      <c r="D38" s="72"/>
      <c r="E38" s="73" t="s">
        <v>84</v>
      </c>
      <c r="F38" s="117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f>3230-4137</f>
        <v>-907</v>
      </c>
      <c r="R38" s="63">
        <f t="shared" si="4"/>
        <v>-907</v>
      </c>
    </row>
    <row r="39" spans="1:18" ht="13.8" x14ac:dyDescent="0.3">
      <c r="A39" s="75" t="s">
        <v>85</v>
      </c>
      <c r="B39" s="61"/>
      <c r="C39" s="71"/>
      <c r="D39" s="72"/>
      <c r="E39" s="73"/>
      <c r="F39" s="76">
        <f>+F40+F41</f>
        <v>0</v>
      </c>
      <c r="G39" s="76">
        <f t="shared" ref="G39:L39" si="7">+G40+G41</f>
        <v>0</v>
      </c>
      <c r="H39" s="76">
        <f t="shared" si="7"/>
        <v>0</v>
      </c>
      <c r="I39" s="76">
        <f t="shared" si="7"/>
        <v>0</v>
      </c>
      <c r="J39" s="76">
        <f t="shared" si="7"/>
        <v>0</v>
      </c>
      <c r="K39" s="76">
        <f t="shared" si="7"/>
        <v>0</v>
      </c>
      <c r="L39" s="76">
        <f t="shared" si="7"/>
        <v>0</v>
      </c>
      <c r="M39" s="76">
        <f>+M40+M41</f>
        <v>0</v>
      </c>
      <c r="N39" s="76">
        <f>+N40+N41</f>
        <v>0</v>
      </c>
      <c r="O39" s="76">
        <f>+O40+O41</f>
        <v>0</v>
      </c>
      <c r="P39" s="76">
        <f>+P40+P41</f>
        <v>0</v>
      </c>
      <c r="Q39" s="76">
        <f>+Q40+Q41</f>
        <v>0</v>
      </c>
      <c r="R39" s="26">
        <f t="shared" si="4"/>
        <v>0</v>
      </c>
    </row>
    <row r="40" spans="1:18" ht="13.8" x14ac:dyDescent="0.3">
      <c r="A40" s="70"/>
      <c r="B40" s="61" t="s">
        <v>63</v>
      </c>
      <c r="C40" s="4" t="s">
        <v>86</v>
      </c>
      <c r="D40" s="4"/>
      <c r="E40" s="17">
        <v>562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/>
      <c r="R40" s="63">
        <f t="shared" si="4"/>
        <v>0</v>
      </c>
    </row>
    <row r="41" spans="1:18" ht="13.8" x14ac:dyDescent="0.3">
      <c r="A41" s="70"/>
      <c r="B41" s="77" t="s">
        <v>71</v>
      </c>
      <c r="C41" s="122" t="s">
        <v>122</v>
      </c>
      <c r="D41" s="78"/>
      <c r="E41" s="79">
        <v>563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/>
      <c r="R41" s="63">
        <f t="shared" si="4"/>
        <v>0</v>
      </c>
    </row>
    <row r="42" spans="1:18" ht="13.8" x14ac:dyDescent="0.3">
      <c r="A42" s="75" t="s">
        <v>87</v>
      </c>
      <c r="B42" s="61"/>
      <c r="C42" s="71"/>
      <c r="D42" s="72"/>
      <c r="E42" s="73"/>
      <c r="F42" s="76">
        <f>+F43+F44</f>
        <v>0</v>
      </c>
      <c r="G42" s="76">
        <f t="shared" ref="G42:L42" si="8">+G43+G44</f>
        <v>0</v>
      </c>
      <c r="H42" s="76">
        <f t="shared" si="8"/>
        <v>0</v>
      </c>
      <c r="I42" s="76">
        <f t="shared" si="8"/>
        <v>0</v>
      </c>
      <c r="J42" s="76">
        <f t="shared" si="8"/>
        <v>0</v>
      </c>
      <c r="K42" s="76">
        <v>0</v>
      </c>
      <c r="L42" s="76">
        <f t="shared" si="8"/>
        <v>0</v>
      </c>
      <c r="M42" s="76">
        <f>+M43+M44</f>
        <v>0</v>
      </c>
      <c r="N42" s="76">
        <f>+N43+N44</f>
        <v>0</v>
      </c>
      <c r="O42" s="76">
        <f>+O43+O44</f>
        <v>0</v>
      </c>
      <c r="P42" s="76">
        <f>+P43+P44</f>
        <v>0</v>
      </c>
      <c r="Q42" s="76">
        <f>+Q43+Q44</f>
        <v>0</v>
      </c>
      <c r="R42" s="26">
        <f t="shared" si="4"/>
        <v>0</v>
      </c>
    </row>
    <row r="43" spans="1:18" ht="13.8" x14ac:dyDescent="0.3">
      <c r="A43" s="70"/>
      <c r="B43" s="61" t="s">
        <v>63</v>
      </c>
      <c r="C43" s="66" t="s">
        <v>21</v>
      </c>
      <c r="D43" s="4"/>
      <c r="E43" s="17">
        <v>591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/>
      <c r="R43" s="63">
        <f t="shared" si="4"/>
        <v>0</v>
      </c>
    </row>
    <row r="44" spans="1:18" ht="14.4" thickBot="1" x14ac:dyDescent="0.35">
      <c r="A44" s="70"/>
      <c r="B44" s="81" t="s">
        <v>68</v>
      </c>
      <c r="C44" s="82" t="s">
        <v>22</v>
      </c>
      <c r="D44" s="78"/>
      <c r="E44" s="79">
        <v>595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/>
      <c r="R44" s="63">
        <f t="shared" si="4"/>
        <v>0</v>
      </c>
    </row>
    <row r="45" spans="1:18" ht="15.75" customHeight="1" thickBot="1" x14ac:dyDescent="0.5">
      <c r="A45" s="47" t="s">
        <v>88</v>
      </c>
      <c r="B45" s="48"/>
      <c r="C45" s="83"/>
      <c r="D45" s="83"/>
      <c r="E45" s="84"/>
      <c r="F45" s="85">
        <f t="shared" ref="F45:Q45" si="9">+F46+F60+F64</f>
        <v>30288278.350000001</v>
      </c>
      <c r="G45" s="85">
        <f t="shared" si="9"/>
        <v>30060468.829999998</v>
      </c>
      <c r="H45" s="85">
        <f t="shared" si="9"/>
        <v>33905462.32</v>
      </c>
      <c r="I45" s="85">
        <f t="shared" si="9"/>
        <v>33338701.82</v>
      </c>
      <c r="J45" s="85">
        <f t="shared" si="9"/>
        <v>59450559.389999993</v>
      </c>
      <c r="K45" s="85">
        <f t="shared" si="9"/>
        <v>39869323.419999994</v>
      </c>
      <c r="L45" s="85">
        <f t="shared" si="9"/>
        <v>46552731.890000008</v>
      </c>
      <c r="M45" s="85">
        <f t="shared" si="9"/>
        <v>40840441.510000005</v>
      </c>
      <c r="N45" s="85">
        <f>+N46+N60+N64</f>
        <v>34719252.50999999</v>
      </c>
      <c r="O45" s="85">
        <f t="shared" si="9"/>
        <v>35546308.109999999</v>
      </c>
      <c r="P45" s="85">
        <f t="shared" si="9"/>
        <v>31455832.209999993</v>
      </c>
      <c r="Q45" s="85">
        <f t="shared" si="9"/>
        <v>24436245.219999995</v>
      </c>
      <c r="R45" s="86">
        <f t="shared" si="4"/>
        <v>440463605.57999992</v>
      </c>
    </row>
    <row r="46" spans="1:18" ht="15.75" customHeight="1" x14ac:dyDescent="0.25">
      <c r="A46" s="52" t="s">
        <v>89</v>
      </c>
      <c r="B46" s="87"/>
      <c r="C46" s="88"/>
      <c r="D46" s="5"/>
      <c r="E46" s="16"/>
      <c r="F46" s="55">
        <f t="shared" ref="F46:Q46" si="10">+SUM(F47:F59)</f>
        <v>27116146.09</v>
      </c>
      <c r="G46" s="55">
        <f t="shared" si="10"/>
        <v>26402626.629999999</v>
      </c>
      <c r="H46" s="55">
        <f t="shared" si="10"/>
        <v>30500607.350000001</v>
      </c>
      <c r="I46" s="55">
        <f t="shared" si="10"/>
        <v>29872353.470000003</v>
      </c>
      <c r="J46" s="55">
        <f t="shared" si="10"/>
        <v>28582053.139999993</v>
      </c>
      <c r="K46" s="55">
        <f t="shared" si="10"/>
        <v>36152647.649999999</v>
      </c>
      <c r="L46" s="55">
        <f t="shared" si="10"/>
        <v>43063079.030000009</v>
      </c>
      <c r="M46" s="55">
        <f t="shared" si="10"/>
        <v>37350801.820000008</v>
      </c>
      <c r="N46" s="55">
        <f t="shared" si="10"/>
        <v>32623467.629999995</v>
      </c>
      <c r="O46" s="55">
        <f t="shared" si="10"/>
        <v>34001921.880000003</v>
      </c>
      <c r="P46" s="55">
        <f t="shared" si="10"/>
        <v>29799347.999999996</v>
      </c>
      <c r="Q46" s="55">
        <f t="shared" si="10"/>
        <v>24435294.909999996</v>
      </c>
      <c r="R46" s="25">
        <f t="shared" si="4"/>
        <v>379900347.60000002</v>
      </c>
    </row>
    <row r="47" spans="1:18" ht="13.8" x14ac:dyDescent="0.3">
      <c r="A47" s="60"/>
      <c r="B47" s="57" t="s">
        <v>62</v>
      </c>
      <c r="C47" s="88" t="s">
        <v>56</v>
      </c>
      <c r="D47" s="5"/>
      <c r="E47" s="16">
        <v>601</v>
      </c>
      <c r="F47" s="89">
        <v>0</v>
      </c>
      <c r="G47" s="89">
        <v>0</v>
      </c>
      <c r="H47" s="89">
        <v>1322.31</v>
      </c>
      <c r="I47" s="89">
        <v>0</v>
      </c>
      <c r="J47" s="89">
        <v>5289.24</v>
      </c>
      <c r="K47" s="89">
        <v>2644.62</v>
      </c>
      <c r="L47" s="89">
        <v>3966.93</v>
      </c>
      <c r="M47" s="89">
        <v>1322.31</v>
      </c>
      <c r="N47" s="89">
        <v>1322.31</v>
      </c>
      <c r="O47" s="89">
        <v>3966.93</v>
      </c>
      <c r="P47" s="89">
        <v>0</v>
      </c>
      <c r="Q47" s="59">
        <v>1322.31</v>
      </c>
      <c r="R47" s="58">
        <f t="shared" si="4"/>
        <v>21156.959999999999</v>
      </c>
    </row>
    <row r="48" spans="1:18" ht="13.8" x14ac:dyDescent="0.3">
      <c r="A48" s="60"/>
      <c r="B48" s="61" t="s">
        <v>63</v>
      </c>
      <c r="C48" s="88" t="s">
        <v>57</v>
      </c>
      <c r="D48" s="4"/>
      <c r="E48" s="17">
        <v>602</v>
      </c>
      <c r="F48" s="62">
        <v>26982569.989999998</v>
      </c>
      <c r="G48" s="62">
        <v>26257725</v>
      </c>
      <c r="H48" s="62">
        <v>30314965.940000001</v>
      </c>
      <c r="I48" s="62">
        <v>29716635.75</v>
      </c>
      <c r="J48" s="62">
        <v>28430185.579999998</v>
      </c>
      <c r="K48" s="62">
        <v>35880874.350000001</v>
      </c>
      <c r="L48" s="62">
        <v>42670527.020000003</v>
      </c>
      <c r="M48" s="62">
        <v>37154145.32</v>
      </c>
      <c r="N48" s="62">
        <v>32440526.239999998</v>
      </c>
      <c r="O48" s="62">
        <v>33861742.780000001</v>
      </c>
      <c r="P48" s="62">
        <v>29324253.199999999</v>
      </c>
      <c r="Q48" s="62">
        <v>24236765.649999999</v>
      </c>
      <c r="R48" s="63">
        <f t="shared" si="4"/>
        <v>377270916.81999999</v>
      </c>
    </row>
    <row r="49" spans="1:18" ht="13.8" x14ac:dyDescent="0.3">
      <c r="A49" s="60"/>
      <c r="B49" s="61" t="s">
        <v>68</v>
      </c>
      <c r="C49" s="88" t="s">
        <v>47</v>
      </c>
      <c r="D49" s="4"/>
      <c r="E49" s="17">
        <v>603</v>
      </c>
      <c r="F49" s="62">
        <v>68375.210000000006</v>
      </c>
      <c r="G49" s="113">
        <v>71673</v>
      </c>
      <c r="H49" s="62">
        <v>80281.509999999995</v>
      </c>
      <c r="I49" s="62">
        <v>71081.820000000007</v>
      </c>
      <c r="J49" s="62">
        <v>73239.47</v>
      </c>
      <c r="K49" s="62">
        <v>93980.69</v>
      </c>
      <c r="L49" s="62">
        <v>266314.45</v>
      </c>
      <c r="M49" s="62">
        <v>72652.06</v>
      </c>
      <c r="N49" s="62">
        <v>81347.63</v>
      </c>
      <c r="O49" s="62">
        <v>75868.600000000006</v>
      </c>
      <c r="P49" s="62">
        <v>71990.91</v>
      </c>
      <c r="Q49" s="62">
        <v>94012.91</v>
      </c>
      <c r="R49" s="63">
        <f t="shared" si="4"/>
        <v>1120818.26</v>
      </c>
    </row>
    <row r="50" spans="1:18" ht="13.8" x14ac:dyDescent="0.3">
      <c r="A50" s="60"/>
      <c r="B50" s="61" t="s">
        <v>69</v>
      </c>
      <c r="C50" s="90" t="s">
        <v>90</v>
      </c>
      <c r="D50" s="91"/>
      <c r="E50" s="17">
        <v>604</v>
      </c>
      <c r="F50" s="62">
        <v>56098.91</v>
      </c>
      <c r="G50" s="62">
        <v>69266.95</v>
      </c>
      <c r="H50" s="62">
        <v>75010.350000000006</v>
      </c>
      <c r="I50" s="62">
        <v>71894.67</v>
      </c>
      <c r="J50" s="62">
        <v>62557.33</v>
      </c>
      <c r="K50" s="62">
        <v>74016.460000000006</v>
      </c>
      <c r="L50" s="62">
        <v>69957.56</v>
      </c>
      <c r="M50" s="62">
        <v>68921.490000000005</v>
      </c>
      <c r="N50" s="62">
        <v>62768.29</v>
      </c>
      <c r="O50" s="62">
        <v>58613.42</v>
      </c>
      <c r="P50" s="62">
        <v>54354.33</v>
      </c>
      <c r="Q50" s="62">
        <v>59521.01</v>
      </c>
      <c r="R50" s="63">
        <f t="shared" si="4"/>
        <v>782980.77000000014</v>
      </c>
    </row>
    <row r="51" spans="1:18" ht="13.8" x14ac:dyDescent="0.3">
      <c r="A51" s="60"/>
      <c r="B51" s="61" t="s">
        <v>71</v>
      </c>
      <c r="C51" s="92" t="s">
        <v>91</v>
      </c>
      <c r="D51" s="91"/>
      <c r="E51" s="17">
        <v>609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/>
      <c r="R51" s="63">
        <f t="shared" si="4"/>
        <v>0</v>
      </c>
    </row>
    <row r="52" spans="1:18" ht="13.8" x14ac:dyDescent="0.3">
      <c r="A52" s="60"/>
      <c r="B52" s="61" t="s">
        <v>73</v>
      </c>
      <c r="C52" s="93" t="s">
        <v>92</v>
      </c>
      <c r="D52" s="91"/>
      <c r="E52" s="17">
        <v>641.64200000000005</v>
      </c>
      <c r="F52" s="62">
        <v>0</v>
      </c>
      <c r="G52" s="62">
        <v>0</v>
      </c>
      <c r="H52" s="62">
        <v>0</v>
      </c>
      <c r="I52" s="62">
        <v>0</v>
      </c>
      <c r="J52" s="62">
        <v>642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/>
      <c r="R52" s="63">
        <f t="shared" si="4"/>
        <v>642</v>
      </c>
    </row>
    <row r="53" spans="1:18" ht="13.8" x14ac:dyDescent="0.3">
      <c r="A53" s="60"/>
      <c r="B53" s="61" t="s">
        <v>120</v>
      </c>
      <c r="C53" s="121" t="s">
        <v>119</v>
      </c>
      <c r="D53" s="91"/>
      <c r="E53" s="17">
        <v>643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/>
      <c r="R53" s="63">
        <f t="shared" si="4"/>
        <v>0</v>
      </c>
    </row>
    <row r="54" spans="1:18" ht="13.8" x14ac:dyDescent="0.3">
      <c r="A54" s="60"/>
      <c r="B54" s="61" t="s">
        <v>70</v>
      </c>
      <c r="C54" s="90" t="s">
        <v>93</v>
      </c>
      <c r="D54" s="91"/>
      <c r="E54" s="94">
        <v>644</v>
      </c>
      <c r="F54" s="62">
        <v>7333.21</v>
      </c>
      <c r="G54" s="62">
        <v>1971.58</v>
      </c>
      <c r="H54" s="62">
        <v>854.41</v>
      </c>
      <c r="I54" s="62">
        <v>667.63</v>
      </c>
      <c r="J54" s="62">
        <v>123.97</v>
      </c>
      <c r="K54" s="62">
        <v>654.1</v>
      </c>
      <c r="L54" s="62">
        <v>8485.94</v>
      </c>
      <c r="M54" s="62">
        <v>751.17</v>
      </c>
      <c r="N54" s="62">
        <v>6026.13</v>
      </c>
      <c r="O54" s="62">
        <v>0</v>
      </c>
      <c r="P54" s="62">
        <v>7877.97</v>
      </c>
      <c r="Q54" s="62">
        <v>1629.47</v>
      </c>
      <c r="R54" s="63">
        <f t="shared" si="4"/>
        <v>36375.58</v>
      </c>
    </row>
    <row r="55" spans="1:18" ht="13.8" x14ac:dyDescent="0.3">
      <c r="A55" s="60"/>
      <c r="B55" s="61" t="s">
        <v>72</v>
      </c>
      <c r="C55" s="88" t="s">
        <v>94</v>
      </c>
      <c r="D55" s="95"/>
      <c r="E55" s="96">
        <v>645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/>
      <c r="R55" s="63">
        <f t="shared" si="4"/>
        <v>0</v>
      </c>
    </row>
    <row r="56" spans="1:18" ht="13.8" x14ac:dyDescent="0.3">
      <c r="A56" s="60"/>
      <c r="B56" s="61" t="s">
        <v>8</v>
      </c>
      <c r="C56" s="88" t="s">
        <v>95</v>
      </c>
      <c r="D56" s="4"/>
      <c r="E56" s="94">
        <v>646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/>
      <c r="R56" s="63">
        <f t="shared" si="4"/>
        <v>0</v>
      </c>
    </row>
    <row r="57" spans="1:18" ht="13.8" x14ac:dyDescent="0.3">
      <c r="A57" s="60"/>
      <c r="B57" s="61" t="s">
        <v>121</v>
      </c>
      <c r="C57" s="88" t="s">
        <v>96</v>
      </c>
      <c r="D57" s="95"/>
      <c r="E57" s="96">
        <v>647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62"/>
      <c r="R57" s="63">
        <f t="shared" si="4"/>
        <v>0</v>
      </c>
    </row>
    <row r="58" spans="1:18" ht="13.8" x14ac:dyDescent="0.3">
      <c r="A58" s="60"/>
      <c r="B58" s="61" t="s">
        <v>10</v>
      </c>
      <c r="C58" s="90" t="s">
        <v>48</v>
      </c>
      <c r="D58" s="4"/>
      <c r="E58" s="17">
        <v>648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40000</v>
      </c>
      <c r="M58" s="62">
        <v>0</v>
      </c>
      <c r="N58" s="62">
        <v>0</v>
      </c>
      <c r="O58" s="62">
        <v>0</v>
      </c>
      <c r="P58" s="62">
        <v>338713.62</v>
      </c>
      <c r="Q58" s="62"/>
      <c r="R58" s="63">
        <f t="shared" si="4"/>
        <v>378713.62</v>
      </c>
    </row>
    <row r="59" spans="1:18" ht="13.5" customHeight="1" x14ac:dyDescent="0.3">
      <c r="A59" s="60"/>
      <c r="B59" s="61" t="s">
        <v>11</v>
      </c>
      <c r="C59" s="90" t="s">
        <v>49</v>
      </c>
      <c r="D59" s="4"/>
      <c r="E59" s="17">
        <v>649</v>
      </c>
      <c r="F59" s="62">
        <v>1768.77</v>
      </c>
      <c r="G59" s="113">
        <v>1990.1</v>
      </c>
      <c r="H59" s="62">
        <v>28172.83</v>
      </c>
      <c r="I59" s="62">
        <v>12073.6</v>
      </c>
      <c r="J59" s="62">
        <v>10015.549999999999</v>
      </c>
      <c r="K59" s="62">
        <v>100477.43</v>
      </c>
      <c r="L59" s="62">
        <v>3827.13</v>
      </c>
      <c r="M59" s="62">
        <v>53009.47</v>
      </c>
      <c r="N59" s="62">
        <v>31477.03</v>
      </c>
      <c r="O59" s="62">
        <v>1730.15</v>
      </c>
      <c r="P59" s="62">
        <v>2157.9699999999998</v>
      </c>
      <c r="Q59" s="62">
        <v>42043.56</v>
      </c>
      <c r="R59" s="63">
        <f t="shared" si="4"/>
        <v>288743.58999999997</v>
      </c>
    </row>
    <row r="60" spans="1:18" ht="13.5" customHeight="1" x14ac:dyDescent="0.3">
      <c r="A60" s="75" t="s">
        <v>97</v>
      </c>
      <c r="B60" s="61"/>
      <c r="C60" s="71"/>
      <c r="D60" s="72"/>
      <c r="E60" s="73"/>
      <c r="F60" s="76">
        <f>F61+F63</f>
        <v>184.59</v>
      </c>
      <c r="G60" s="76">
        <f t="shared" ref="G60:M60" si="11">G61+G63</f>
        <v>211.19</v>
      </c>
      <c r="H60" s="76">
        <f t="shared" si="11"/>
        <v>311.52999999999997</v>
      </c>
      <c r="I60" s="76">
        <f t="shared" si="11"/>
        <v>185.65</v>
      </c>
      <c r="J60" s="76">
        <f t="shared" si="11"/>
        <v>390.2</v>
      </c>
      <c r="K60" s="76">
        <f t="shared" si="11"/>
        <v>514.65</v>
      </c>
      <c r="L60" s="76">
        <f t="shared" si="11"/>
        <v>562.12</v>
      </c>
      <c r="M60" s="76">
        <f t="shared" si="11"/>
        <v>699.35</v>
      </c>
      <c r="N60" s="76">
        <f>N61+N63+N62</f>
        <v>741.31</v>
      </c>
      <c r="O60" s="76">
        <f t="shared" ref="O60:Q60" si="12">O61+O63+O62</f>
        <v>828.55</v>
      </c>
      <c r="P60" s="76">
        <f t="shared" si="12"/>
        <v>743.65</v>
      </c>
      <c r="Q60" s="76">
        <f t="shared" si="12"/>
        <v>665.08</v>
      </c>
      <c r="R60" s="26">
        <f t="shared" si="4"/>
        <v>6037.869999999999</v>
      </c>
    </row>
    <row r="61" spans="1:18" ht="13.8" x14ac:dyDescent="0.3">
      <c r="A61" s="60"/>
      <c r="B61" s="61" t="s">
        <v>62</v>
      </c>
      <c r="C61" s="90" t="s">
        <v>86</v>
      </c>
      <c r="D61" s="4"/>
      <c r="E61" s="17">
        <v>662</v>
      </c>
      <c r="F61" s="62">
        <v>184.59</v>
      </c>
      <c r="G61" s="62">
        <v>211.19</v>
      </c>
      <c r="H61" s="62">
        <v>311.52999999999997</v>
      </c>
      <c r="I61" s="62">
        <v>185.65</v>
      </c>
      <c r="J61" s="62">
        <v>390.2</v>
      </c>
      <c r="K61" s="62">
        <v>514.65</v>
      </c>
      <c r="L61" s="62">
        <v>562.12</v>
      </c>
      <c r="M61" s="62">
        <v>699.35</v>
      </c>
      <c r="N61" s="62">
        <v>741.31</v>
      </c>
      <c r="O61" s="62">
        <v>828.55</v>
      </c>
      <c r="P61" s="62">
        <v>743.65</v>
      </c>
      <c r="Q61" s="62">
        <v>665.08</v>
      </c>
      <c r="R61" s="63">
        <f t="shared" si="4"/>
        <v>6037.869999999999</v>
      </c>
    </row>
    <row r="62" spans="1:18" ht="13.8" x14ac:dyDescent="0.3">
      <c r="A62" s="60"/>
      <c r="B62" s="61"/>
      <c r="C62" s="90" t="s">
        <v>130</v>
      </c>
      <c r="D62" s="4"/>
      <c r="E62" s="17">
        <v>663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2">
        <v>0</v>
      </c>
      <c r="Q62" s="62"/>
      <c r="R62" s="63">
        <f t="shared" si="4"/>
        <v>0</v>
      </c>
    </row>
    <row r="63" spans="1:18" ht="13.8" x14ac:dyDescent="0.3">
      <c r="A63" s="60"/>
      <c r="B63" s="61" t="s">
        <v>63</v>
      </c>
      <c r="C63" s="90" t="s">
        <v>98</v>
      </c>
      <c r="D63" s="4"/>
      <c r="E63" s="17">
        <v>669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/>
      <c r="R63" s="63">
        <f t="shared" si="4"/>
        <v>0</v>
      </c>
    </row>
    <row r="64" spans="1:18" ht="13.8" x14ac:dyDescent="0.3">
      <c r="A64" s="75" t="s">
        <v>99</v>
      </c>
      <c r="B64" s="61"/>
      <c r="C64" s="71"/>
      <c r="D64" s="72"/>
      <c r="E64" s="73"/>
      <c r="F64" s="76">
        <f>+F65+F68+F78</f>
        <v>3171947.67</v>
      </c>
      <c r="G64" s="76">
        <f>+G65+G68+G78+G66</f>
        <v>3657631.01</v>
      </c>
      <c r="H64" s="76">
        <f t="shared" ref="H64:L64" si="13">+H65+H68+H78+H66</f>
        <v>3404543.44</v>
      </c>
      <c r="I64" s="76">
        <f>+I65+I68+I78+I66</f>
        <v>3466162.6999999997</v>
      </c>
      <c r="J64" s="76">
        <f>+J65+J68+J78+J66+J67</f>
        <v>30868116.050000001</v>
      </c>
      <c r="K64" s="76">
        <f>+K65+K68+K78+K66+K67</f>
        <v>3716161.12</v>
      </c>
      <c r="L64" s="76">
        <f t="shared" si="13"/>
        <v>3489090.7399999998</v>
      </c>
      <c r="M64" s="76">
        <f>+M65+M68+M78+M66+M67</f>
        <v>3488940.34</v>
      </c>
      <c r="N64" s="76">
        <f>+N65+N68+N78+N66+N67</f>
        <v>2095043.57</v>
      </c>
      <c r="O64" s="76">
        <f t="shared" ref="O64:P64" si="14">+O65+O68+O78+O66+O67</f>
        <v>1543557.68</v>
      </c>
      <c r="P64" s="76">
        <f t="shared" si="14"/>
        <v>1655740.56</v>
      </c>
      <c r="Q64" s="76">
        <f>+Q65+Q68+Q78+Q66+Q67</f>
        <v>285.22999999998137</v>
      </c>
      <c r="R64" s="26">
        <f>SUM(F64:Q64)</f>
        <v>60557220.109999992</v>
      </c>
    </row>
    <row r="65" spans="1:18" ht="13.8" x14ac:dyDescent="0.3">
      <c r="A65" s="60"/>
      <c r="B65" s="61" t="s">
        <v>62</v>
      </c>
      <c r="C65" s="118" t="s">
        <v>115</v>
      </c>
      <c r="D65" s="4"/>
      <c r="E65" s="17">
        <v>672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/>
      <c r="R65" s="63">
        <f t="shared" si="4"/>
        <v>0</v>
      </c>
    </row>
    <row r="66" spans="1:18" ht="13.8" x14ac:dyDescent="0.3">
      <c r="A66" s="60"/>
      <c r="B66" s="61"/>
      <c r="C66" s="118" t="s">
        <v>113</v>
      </c>
      <c r="D66" s="4"/>
      <c r="E66" s="17"/>
      <c r="F66" s="59">
        <v>0</v>
      </c>
      <c r="G66" s="62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/>
      <c r="R66" s="63">
        <f t="shared" si="4"/>
        <v>0</v>
      </c>
    </row>
    <row r="67" spans="1:18" ht="13.8" x14ac:dyDescent="0.3">
      <c r="A67" s="60"/>
      <c r="B67" s="61"/>
      <c r="C67" s="118" t="s">
        <v>123</v>
      </c>
      <c r="D67" s="4"/>
      <c r="E67" s="17"/>
      <c r="F67" s="59">
        <v>0</v>
      </c>
      <c r="G67" s="59">
        <v>0</v>
      </c>
      <c r="H67" s="59">
        <v>0</v>
      </c>
      <c r="I67" s="59">
        <v>0</v>
      </c>
      <c r="J67" s="59">
        <v>27442434.960000001</v>
      </c>
      <c r="K67" s="59">
        <v>257008.24</v>
      </c>
      <c r="L67" s="59">
        <v>0</v>
      </c>
      <c r="M67" s="59">
        <v>0</v>
      </c>
      <c r="N67" s="59">
        <f>-14689.24+142751</f>
        <v>128061.75999999999</v>
      </c>
      <c r="O67" s="59">
        <f>339592.68+110609</f>
        <v>450201.68</v>
      </c>
      <c r="P67" s="59">
        <f>414066.56+66160</f>
        <v>480226.56</v>
      </c>
      <c r="Q67" s="59">
        <f>-1048890.2-16000</f>
        <v>-1064890.2</v>
      </c>
      <c r="R67" s="63">
        <f>SUM(F67:Q67)</f>
        <v>27693043</v>
      </c>
    </row>
    <row r="68" spans="1:18" ht="13.8" x14ac:dyDescent="0.3">
      <c r="A68" s="60"/>
      <c r="B68" s="61" t="s">
        <v>63</v>
      </c>
      <c r="C68" s="97" t="s">
        <v>100</v>
      </c>
      <c r="D68" s="66"/>
      <c r="E68" s="94">
        <v>672</v>
      </c>
      <c r="F68" s="55">
        <f>+F69+F70+F73+F74+F77</f>
        <v>2891835.67</v>
      </c>
      <c r="G68" s="55">
        <f>+G69+G70+G73+G74+G77</f>
        <v>3377519.01</v>
      </c>
      <c r="H68" s="55">
        <f>+H69+H70+H73+H74+H77</f>
        <v>3124431.44</v>
      </c>
      <c r="I68" s="55">
        <f>+I69+I70+I73+I74+I77+I76+I75</f>
        <v>3186050.6999999997</v>
      </c>
      <c r="J68" s="55">
        <f>+J69+J70+J73+J74+J77+J76+J75</f>
        <v>3145569.09</v>
      </c>
      <c r="K68" s="55">
        <f>+K69+K70+K73+K74+K77+K76</f>
        <v>3179040.88</v>
      </c>
      <c r="L68" s="55">
        <f>+L69+L70+L73+L74+L77+L76</f>
        <v>3208561.7399999998</v>
      </c>
      <c r="M68" s="55">
        <f t="shared" ref="M68:O68" si="15">+M69+M70+M73+M74+M77+M76</f>
        <v>3208411.34</v>
      </c>
      <c r="N68" s="55">
        <f t="shared" si="15"/>
        <v>1682793.81</v>
      </c>
      <c r="O68" s="55">
        <f t="shared" si="15"/>
        <v>809168</v>
      </c>
      <c r="P68" s="55">
        <f>+P69+P70+P73+P74+P77+P76+P75+P71+P72</f>
        <v>891326</v>
      </c>
      <c r="Q68" s="55">
        <f>+Q69+Q70+Q73+Q74+Q77+Q76+Q71+Q72+Q75</f>
        <v>780987.42999999993</v>
      </c>
      <c r="R68" s="26">
        <f t="shared" si="4"/>
        <v>29485695.109999996</v>
      </c>
    </row>
    <row r="69" spans="1:18" ht="13.5" customHeight="1" x14ac:dyDescent="0.3">
      <c r="A69" s="60"/>
      <c r="B69" s="61"/>
      <c r="C69" s="90" t="s">
        <v>1</v>
      </c>
      <c r="D69" s="4" t="s">
        <v>58</v>
      </c>
      <c r="E69" s="96"/>
      <c r="F69" s="62">
        <v>1664416.67</v>
      </c>
      <c r="G69" s="62">
        <v>1664416.67</v>
      </c>
      <c r="H69" s="62">
        <v>1664416.67</v>
      </c>
      <c r="I69" s="62">
        <v>1664416.67</v>
      </c>
      <c r="J69" s="62">
        <v>1664416.67</v>
      </c>
      <c r="K69" s="62">
        <v>1664416.67</v>
      </c>
      <c r="L69" s="62">
        <v>1664416.67</v>
      </c>
      <c r="M69" s="62">
        <v>1664416.67</v>
      </c>
      <c r="N69" s="62">
        <v>164416.66</v>
      </c>
      <c r="O69" s="62">
        <v>-733916.67</v>
      </c>
      <c r="P69" s="62">
        <v>-733916.67</v>
      </c>
      <c r="Q69" s="62">
        <v>-733916.68</v>
      </c>
      <c r="R69" s="63">
        <f t="shared" si="4"/>
        <v>11278000</v>
      </c>
    </row>
    <row r="70" spans="1:18" ht="13.5" customHeight="1" x14ac:dyDescent="0.3">
      <c r="A70" s="60"/>
      <c r="B70" s="98"/>
      <c r="C70" s="90"/>
      <c r="D70" s="4" t="s">
        <v>112</v>
      </c>
      <c r="E70" s="16"/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/>
      <c r="R70" s="63">
        <f t="shared" si="4"/>
        <v>0</v>
      </c>
    </row>
    <row r="71" spans="1:18" ht="13.5" customHeight="1" x14ac:dyDescent="0.3">
      <c r="A71" s="60"/>
      <c r="B71" s="98"/>
      <c r="C71" s="90"/>
      <c r="D71" s="4" t="s">
        <v>116</v>
      </c>
      <c r="E71" s="16"/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/>
      <c r="R71" s="63">
        <f t="shared" si="4"/>
        <v>0</v>
      </c>
    </row>
    <row r="72" spans="1:18" ht="13.5" customHeight="1" x14ac:dyDescent="0.3">
      <c r="A72" s="60"/>
      <c r="B72" s="98"/>
      <c r="C72" s="90"/>
      <c r="D72" s="114" t="s">
        <v>124</v>
      </c>
      <c r="E72" s="16"/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63">
        <f t="shared" si="4"/>
        <v>0</v>
      </c>
    </row>
    <row r="73" spans="1:18" ht="13.8" x14ac:dyDescent="0.3">
      <c r="A73" s="60"/>
      <c r="B73" s="99"/>
      <c r="C73" s="90"/>
      <c r="D73" s="4" t="s">
        <v>114</v>
      </c>
      <c r="E73" s="17"/>
      <c r="F73" s="62">
        <v>0</v>
      </c>
      <c r="G73" s="62">
        <v>485683.34</v>
      </c>
      <c r="H73" s="62">
        <v>242841.67</v>
      </c>
      <c r="I73" s="62">
        <v>242841.67</v>
      </c>
      <c r="J73" s="62">
        <v>242841.67</v>
      </c>
      <c r="K73" s="62">
        <v>242841.67</v>
      </c>
      <c r="L73" s="62">
        <v>242841.67</v>
      </c>
      <c r="M73" s="62">
        <v>242841.67</v>
      </c>
      <c r="N73" s="62">
        <v>242841.67</v>
      </c>
      <c r="O73" s="62">
        <v>242841.67</v>
      </c>
      <c r="P73" s="62">
        <v>242841.67</v>
      </c>
      <c r="Q73" s="62">
        <v>242841.63</v>
      </c>
      <c r="R73" s="69">
        <f t="shared" si="4"/>
        <v>2914099.9999999995</v>
      </c>
    </row>
    <row r="74" spans="1:18" ht="13.8" x14ac:dyDescent="0.3">
      <c r="A74" s="60"/>
      <c r="B74" s="99"/>
      <c r="C74" s="90"/>
      <c r="D74" s="22" t="s">
        <v>101</v>
      </c>
      <c r="E74" s="17"/>
      <c r="F74" s="62">
        <v>1227419</v>
      </c>
      <c r="G74" s="62">
        <v>1227419</v>
      </c>
      <c r="H74" s="62">
        <v>1217173.1000000001</v>
      </c>
      <c r="I74" s="62">
        <v>1244119</v>
      </c>
      <c r="J74" s="62">
        <v>1244119</v>
      </c>
      <c r="K74" s="62">
        <v>1271782.54</v>
      </c>
      <c r="L74" s="62">
        <v>1301303.3999999999</v>
      </c>
      <c r="M74" s="62">
        <v>1301153</v>
      </c>
      <c r="N74" s="62">
        <v>1275535.48</v>
      </c>
      <c r="O74" s="62">
        <v>1300243</v>
      </c>
      <c r="P74" s="62">
        <v>1302442</v>
      </c>
      <c r="Q74" s="62">
        <v>1272062.48</v>
      </c>
      <c r="R74" s="69">
        <f t="shared" si="4"/>
        <v>15184771</v>
      </c>
    </row>
    <row r="75" spans="1:18" ht="13.8" x14ac:dyDescent="0.3">
      <c r="A75" s="60"/>
      <c r="B75" s="99"/>
      <c r="C75" s="90"/>
      <c r="D75" s="123" t="s">
        <v>126</v>
      </c>
      <c r="E75" s="17"/>
      <c r="F75" s="62">
        <v>0</v>
      </c>
      <c r="G75" s="62">
        <v>0</v>
      </c>
      <c r="H75" s="62">
        <v>0</v>
      </c>
      <c r="I75" s="62">
        <v>34673.360000000001</v>
      </c>
      <c r="J75" s="62">
        <v>-5808.25</v>
      </c>
      <c r="K75" s="62">
        <v>0</v>
      </c>
      <c r="L75" s="62">
        <v>0</v>
      </c>
      <c r="M75" s="62">
        <v>0</v>
      </c>
      <c r="N75" s="62">
        <v>0</v>
      </c>
      <c r="O75" s="62">
        <v>0</v>
      </c>
      <c r="P75" s="62">
        <v>79959</v>
      </c>
      <c r="Q75" s="62"/>
      <c r="R75" s="69">
        <f t="shared" si="4"/>
        <v>108824.11</v>
      </c>
    </row>
    <row r="76" spans="1:18" ht="13.8" x14ac:dyDescent="0.3">
      <c r="A76" s="60"/>
      <c r="B76" s="99"/>
      <c r="C76" s="90"/>
      <c r="D76" s="123" t="s">
        <v>127</v>
      </c>
      <c r="E76" s="17"/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62"/>
      <c r="R76" s="69">
        <f t="shared" si="4"/>
        <v>0</v>
      </c>
    </row>
    <row r="77" spans="1:18" ht="13.8" x14ac:dyDescent="0.3">
      <c r="A77" s="60"/>
      <c r="B77" s="99"/>
      <c r="C77" s="90"/>
      <c r="D77" s="66" t="s">
        <v>102</v>
      </c>
      <c r="E77" s="17"/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/>
      <c r="R77" s="69">
        <f t="shared" si="4"/>
        <v>0</v>
      </c>
    </row>
    <row r="78" spans="1:18" ht="14.4" thickBot="1" x14ac:dyDescent="0.35">
      <c r="A78" s="106"/>
      <c r="B78" s="111" t="s">
        <v>68</v>
      </c>
      <c r="C78" s="110" t="s">
        <v>106</v>
      </c>
      <c r="D78" s="107"/>
      <c r="E78" s="108">
        <v>672</v>
      </c>
      <c r="F78" s="109">
        <f>1457+132002.97+146652.03</f>
        <v>280112</v>
      </c>
      <c r="G78" s="109">
        <f>146652.03+132002.97+1457</f>
        <v>280112</v>
      </c>
      <c r="H78" s="109">
        <f>2585.75+3172.13+130874.22+143479.9</f>
        <v>280112</v>
      </c>
      <c r="I78" s="109">
        <f>132002.97+146652.03+1457</f>
        <v>280112</v>
      </c>
      <c r="J78" s="109">
        <v>280112</v>
      </c>
      <c r="K78" s="109">
        <f>143484.21+130911.77+2548.2+3167.82</f>
        <v>280112</v>
      </c>
      <c r="L78" s="109">
        <f>1457+132419.97+146652.03</f>
        <v>280529</v>
      </c>
      <c r="M78" s="109">
        <f>1457+132419.97+146652.03</f>
        <v>280529</v>
      </c>
      <c r="N78" s="109">
        <f>6392.05+3156.91+131143.92+143495.12</f>
        <v>284188</v>
      </c>
      <c r="O78" s="109">
        <f>5116+132419.97+146652.03</f>
        <v>284188</v>
      </c>
      <c r="P78" s="109">
        <f>132419.97+146652.03+5116</f>
        <v>284188</v>
      </c>
      <c r="Q78" s="109">
        <f>6574.45+3782.71+130961.52+142869.32</f>
        <v>284188</v>
      </c>
      <c r="R78" s="69">
        <f t="shared" si="4"/>
        <v>3378482</v>
      </c>
    </row>
    <row r="79" spans="1:18" ht="17.399999999999999" thickBot="1" x14ac:dyDescent="0.5">
      <c r="A79" s="100" t="s">
        <v>103</v>
      </c>
      <c r="B79" s="112" t="s">
        <v>62</v>
      </c>
      <c r="C79" s="48" t="s">
        <v>104</v>
      </c>
      <c r="D79" s="83"/>
      <c r="E79" s="84"/>
      <c r="F79" s="85">
        <f t="shared" ref="F79:L79" si="16">+F45-F9+F42</f>
        <v>509587.60000000149</v>
      </c>
      <c r="G79" s="85">
        <f t="shared" si="16"/>
        <v>536782.6400000006</v>
      </c>
      <c r="H79" s="85">
        <f t="shared" si="16"/>
        <v>1927330.9600000009</v>
      </c>
      <c r="I79" s="85">
        <f t="shared" si="16"/>
        <v>1258973.9100000039</v>
      </c>
      <c r="J79" s="85">
        <f t="shared" si="16"/>
        <v>-27609.599999971688</v>
      </c>
      <c r="K79" s="85">
        <f t="shared" si="16"/>
        <v>8187462.4799999967</v>
      </c>
      <c r="L79" s="85">
        <f t="shared" si="16"/>
        <v>14562802.499999993</v>
      </c>
      <c r="M79" s="85">
        <f>+M45-M9+M42</f>
        <v>5760025.140000008</v>
      </c>
      <c r="N79" s="85">
        <f>+N45-N9+N42</f>
        <v>3014455.4999999925</v>
      </c>
      <c r="O79" s="85">
        <f t="shared" ref="O79:Q79" si="17">+O45-O9+O42</f>
        <v>-5412147.6299999952</v>
      </c>
      <c r="P79" s="85">
        <f t="shared" si="17"/>
        <v>-7038243.6300000101</v>
      </c>
      <c r="Q79" s="85">
        <f t="shared" si="17"/>
        <v>-19886000.190000001</v>
      </c>
      <c r="R79" s="86">
        <f t="shared" si="4"/>
        <v>3393419.6800000183</v>
      </c>
    </row>
    <row r="80" spans="1:18" ht="17.399999999999999" thickBot="1" x14ac:dyDescent="0.5">
      <c r="A80" s="101"/>
      <c r="B80" s="112" t="s">
        <v>63</v>
      </c>
      <c r="C80" s="48" t="s">
        <v>105</v>
      </c>
      <c r="D80" s="83"/>
      <c r="E80" s="84"/>
      <c r="F80" s="102">
        <f t="shared" ref="F80:L80" si="18">+F45-F9</f>
        <v>509587.60000000149</v>
      </c>
      <c r="G80" s="102">
        <f t="shared" si="18"/>
        <v>536782.6400000006</v>
      </c>
      <c r="H80" s="102">
        <f t="shared" si="18"/>
        <v>1927330.9600000009</v>
      </c>
      <c r="I80" s="102">
        <f t="shared" si="18"/>
        <v>1258973.9100000039</v>
      </c>
      <c r="J80" s="102">
        <f t="shared" si="18"/>
        <v>-27609.599999971688</v>
      </c>
      <c r="K80" s="102">
        <f t="shared" si="18"/>
        <v>8187462.4799999967</v>
      </c>
      <c r="L80" s="102">
        <f t="shared" si="18"/>
        <v>14562802.499999993</v>
      </c>
      <c r="M80" s="102">
        <f>+M45-M9</f>
        <v>5760025.140000008</v>
      </c>
      <c r="N80" s="102">
        <f t="shared" ref="N80:Q80" si="19">+N45-N9</f>
        <v>3014455.4999999925</v>
      </c>
      <c r="O80" s="102">
        <f t="shared" si="19"/>
        <v>-5412147.6299999952</v>
      </c>
      <c r="P80" s="102">
        <f t="shared" si="19"/>
        <v>-7038243.6300000101</v>
      </c>
      <c r="Q80" s="102">
        <f t="shared" si="19"/>
        <v>-19886000.190000001</v>
      </c>
      <c r="R80" s="86">
        <f t="shared" si="4"/>
        <v>3393419.6800000183</v>
      </c>
    </row>
    <row r="81" spans="1:19" ht="14.4" thickTop="1" x14ac:dyDescent="0.3">
      <c r="A81" s="38"/>
      <c r="B81" s="168" t="s">
        <v>125</v>
      </c>
      <c r="C81" s="169"/>
      <c r="D81" s="170"/>
      <c r="E81" s="35"/>
      <c r="F81" s="41">
        <v>420.21199999999999</v>
      </c>
      <c r="G81" s="41">
        <v>418.96199999999999</v>
      </c>
      <c r="H81" s="41">
        <v>417.94589999999999</v>
      </c>
      <c r="I81" s="41">
        <v>417.7287</v>
      </c>
      <c r="J81" s="41">
        <v>419.94909999999999</v>
      </c>
      <c r="K81" s="41">
        <v>420.2287</v>
      </c>
      <c r="L81" s="41">
        <v>419.79989999999998</v>
      </c>
      <c r="M81" s="41">
        <v>419.00150000000002</v>
      </c>
      <c r="N81" s="41">
        <v>417.92450000000002</v>
      </c>
      <c r="O81" s="41">
        <v>418.26600000000002</v>
      </c>
      <c r="P81" s="41">
        <v>418.59370000000001</v>
      </c>
      <c r="Q81" s="115">
        <v>415.71280000000002</v>
      </c>
      <c r="R81" s="124">
        <f>AVERAGE(F81:Q81)</f>
        <v>418.69373333333334</v>
      </c>
      <c r="S81">
        <v>420.8</v>
      </c>
    </row>
    <row r="82" spans="1:19" ht="14.4" thickBot="1" x14ac:dyDescent="0.35">
      <c r="A82" s="39"/>
      <c r="B82" s="171" t="s">
        <v>45</v>
      </c>
      <c r="C82" s="172"/>
      <c r="D82" s="173"/>
      <c r="E82" s="18"/>
      <c r="F82" s="42">
        <v>39681.32</v>
      </c>
      <c r="G82" s="42">
        <v>38907.18</v>
      </c>
      <c r="H82" s="42">
        <v>39415.03</v>
      </c>
      <c r="I82" s="42">
        <v>41786.65</v>
      </c>
      <c r="J82" s="42">
        <v>89883.68</v>
      </c>
      <c r="K82" s="42">
        <v>40455.85</v>
      </c>
      <c r="L82" s="42">
        <v>41956.52</v>
      </c>
      <c r="M82" s="42">
        <v>46835.66</v>
      </c>
      <c r="N82" s="42">
        <v>40276.559999999998</v>
      </c>
      <c r="O82" s="42">
        <v>47113.65</v>
      </c>
      <c r="P82" s="42">
        <v>43750.91</v>
      </c>
      <c r="Q82" s="42">
        <v>50784.79</v>
      </c>
      <c r="R82" s="43">
        <f>AVERAGE(F82:Q82)</f>
        <v>46737.316666666673</v>
      </c>
    </row>
    <row r="83" spans="1:19" ht="14.4" thickTop="1" x14ac:dyDescent="0.3">
      <c r="A83" s="40"/>
      <c r="B83" s="174" t="s">
        <v>43</v>
      </c>
      <c r="C83" s="169"/>
      <c r="D83" s="170"/>
      <c r="E83" s="28"/>
      <c r="F83" s="29">
        <v>22956693.219999999</v>
      </c>
      <c r="G83" s="29">
        <v>20417877.219999999</v>
      </c>
      <c r="H83" s="29">
        <v>24536490.359999999</v>
      </c>
      <c r="I83" s="29">
        <v>22814998.440000001</v>
      </c>
      <c r="J83" s="29">
        <v>18120793.16</v>
      </c>
      <c r="K83" s="29">
        <v>19048660.300000001</v>
      </c>
      <c r="L83" s="29">
        <v>23561582.710000001</v>
      </c>
      <c r="M83" s="29">
        <v>23853181.32</v>
      </c>
      <c r="N83" s="30">
        <v>23172401.09</v>
      </c>
      <c r="O83" s="29">
        <v>22937657.91</v>
      </c>
      <c r="P83" s="29">
        <v>21839825.32</v>
      </c>
      <c r="Q83" s="31">
        <v>19937066.960000001</v>
      </c>
      <c r="R83" s="36"/>
    </row>
    <row r="84" spans="1:19" ht="14.4" thickBot="1" x14ac:dyDescent="0.35">
      <c r="A84" s="39"/>
      <c r="B84" s="171" t="s">
        <v>44</v>
      </c>
      <c r="C84" s="172"/>
      <c r="D84" s="173"/>
      <c r="E84" s="18"/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3">
        <v>0</v>
      </c>
      <c r="O84" s="32">
        <v>0</v>
      </c>
      <c r="P84" s="32">
        <v>0</v>
      </c>
      <c r="Q84" s="34">
        <v>0</v>
      </c>
      <c r="R84" s="37"/>
    </row>
    <row r="85" spans="1:19" ht="14.4" thickTop="1" x14ac:dyDescent="0.3">
      <c r="A85" s="125"/>
      <c r="B85" s="126"/>
      <c r="C85" s="126"/>
      <c r="D85" s="126"/>
      <c r="E85" s="127"/>
      <c r="F85" s="128"/>
      <c r="G85" s="128"/>
      <c r="H85" s="128"/>
      <c r="I85" s="128"/>
      <c r="J85" s="128"/>
      <c r="K85" s="128"/>
      <c r="L85" s="128"/>
      <c r="M85" s="128"/>
      <c r="N85" s="129"/>
      <c r="O85" s="128"/>
      <c r="P85" s="128"/>
      <c r="Q85" s="130"/>
      <c r="R85" s="131"/>
    </row>
    <row r="86" spans="1:19" ht="17.25" customHeight="1" x14ac:dyDescent="0.25">
      <c r="A86" s="116" t="s">
        <v>46</v>
      </c>
      <c r="D86" s="153" t="s">
        <v>133</v>
      </c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</row>
    <row r="87" spans="1:19" ht="28.5" customHeight="1" x14ac:dyDescent="0.25">
      <c r="D87" s="154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</row>
    <row r="88" spans="1:19" ht="18" customHeight="1" x14ac:dyDescent="0.25"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</row>
    <row r="89" spans="1:19" ht="18" customHeight="1" x14ac:dyDescent="0.25"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</row>
    <row r="90" spans="1:19" x14ac:dyDescent="0.25">
      <c r="A90" s="2"/>
      <c r="C90" s="27" t="s">
        <v>107</v>
      </c>
      <c r="D90" s="103" t="s">
        <v>108</v>
      </c>
      <c r="G90" s="27" t="s">
        <v>42</v>
      </c>
      <c r="H90" s="104">
        <v>44589</v>
      </c>
    </row>
    <row r="91" spans="1:19" x14ac:dyDescent="0.25">
      <c r="B91" t="s">
        <v>117</v>
      </c>
    </row>
  </sheetData>
  <protectedRanges>
    <protectedRange sqref="F1 H1:N1" name="Oblast7"/>
    <protectedRange sqref="F81:Q85" name="Oblast6"/>
    <protectedRange sqref="D86:R86" name="Oblast9"/>
    <protectedRange sqref="D90" name="Oblast10"/>
    <protectedRange sqref="H90:J90" name="Oblast11"/>
  </protectedRanges>
  <mergeCells count="9">
    <mergeCell ref="D88:R88"/>
    <mergeCell ref="D87:R87"/>
    <mergeCell ref="D86:R86"/>
    <mergeCell ref="E5:E7"/>
    <mergeCell ref="B81:D81"/>
    <mergeCell ref="B82:D82"/>
    <mergeCell ref="B83:D83"/>
    <mergeCell ref="B84:D84"/>
    <mergeCell ref="A5:D7"/>
  </mergeCells>
  <pageMargins left="0.43307086614173229" right="0.70866141732283472" top="0.27559055118110237" bottom="0.27559055118110237" header="0.15748031496062992" footer="0.15748031496062992"/>
  <pageSetup paperSize="9" scale="47" orientation="landscape" r:id="rId1"/>
  <ignoredErrors>
    <ignoredError sqref="R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2019</vt:lpstr>
      <vt:lpstr>2020</vt:lpstr>
      <vt:lpstr>2021</vt:lpstr>
      <vt:lpstr>'2021'!Oblast_tisku</vt:lpstr>
    </vt:vector>
  </TitlesOfParts>
  <Company>ZZS OK, přísp.org.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Pavlíková Jana</dc:creator>
  <cp:lastModifiedBy>Zdenka Polzerová</cp:lastModifiedBy>
  <cp:lastPrinted>2022-01-28T08:51:43Z</cp:lastPrinted>
  <dcterms:created xsi:type="dcterms:W3CDTF">2003-01-15T08:39:07Z</dcterms:created>
  <dcterms:modified xsi:type="dcterms:W3CDTF">2022-01-28T08:52:18Z</dcterms:modified>
</cp:coreProperties>
</file>