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\vyrzpr2023\"/>
    </mc:Choice>
  </mc:AlternateContent>
  <xr:revisionPtr revIDLastSave="0" documentId="13_ncr:1_{5753F1E0-8D42-4E51-A567-C986AC5930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26" l="1"/>
  <c r="Q20" i="26"/>
  <c r="Q80" i="26"/>
  <c r="Q68" i="26"/>
  <c r="Q64" i="26" s="1"/>
  <c r="Q38" i="26"/>
  <c r="Q25" i="26"/>
  <c r="Q24" i="26"/>
  <c r="Q23" i="26"/>
  <c r="Q21" i="26"/>
  <c r="Q14" i="26"/>
  <c r="Q13" i="26"/>
  <c r="P80" i="26"/>
  <c r="I68" i="26"/>
  <c r="P68" i="26"/>
  <c r="P14" i="26"/>
  <c r="P13" i="26"/>
  <c r="O80" i="26"/>
  <c r="O14" i="26"/>
  <c r="O13" i="26"/>
  <c r="N80" i="26"/>
  <c r="N68" i="26"/>
  <c r="N64" i="26" s="1"/>
  <c r="N25" i="26"/>
  <c r="N24" i="26"/>
  <c r="N23" i="26"/>
  <c r="N21" i="26"/>
  <c r="N14" i="26"/>
  <c r="N13" i="26"/>
  <c r="M80" i="26"/>
  <c r="M21" i="26"/>
  <c r="M14" i="26"/>
  <c r="M13" i="26"/>
  <c r="L68" i="26"/>
  <c r="M68" i="26"/>
  <c r="O68" i="26"/>
  <c r="O64" i="26" s="1"/>
  <c r="L80" i="26"/>
  <c r="L14" i="26"/>
  <c r="L13" i="26"/>
  <c r="P64" i="26" l="1"/>
  <c r="M64" i="26"/>
  <c r="L64" i="26"/>
  <c r="K68" i="26"/>
  <c r="K64" i="26" s="1"/>
  <c r="K80" i="26"/>
  <c r="K25" i="26"/>
  <c r="K24" i="26"/>
  <c r="K23" i="26"/>
  <c r="K21" i="26"/>
  <c r="K14" i="26"/>
  <c r="K13" i="26"/>
  <c r="J68" i="26" l="1"/>
  <c r="J80" i="26"/>
  <c r="J14" i="26"/>
  <c r="J13" i="26"/>
  <c r="I77" i="26" l="1"/>
  <c r="I64" i="26" s="1"/>
  <c r="I80" i="26"/>
  <c r="I21" i="26"/>
  <c r="I14" i="26"/>
  <c r="I13" i="26"/>
  <c r="R84" i="26" l="1"/>
  <c r="R83" i="26"/>
  <c r="H80" i="26"/>
  <c r="G80" i="26"/>
  <c r="G64" i="26" s="1"/>
  <c r="G45" i="26" s="1"/>
  <c r="F80" i="26"/>
  <c r="R79" i="26"/>
  <c r="R78" i="26"/>
  <c r="H77" i="26"/>
  <c r="F77" i="26"/>
  <c r="R77" i="26" s="1"/>
  <c r="R76" i="26"/>
  <c r="R75" i="26"/>
  <c r="R74" i="26"/>
  <c r="R73" i="26"/>
  <c r="R72" i="26"/>
  <c r="R71" i="26"/>
  <c r="R70" i="26"/>
  <c r="R69" i="26"/>
  <c r="J64" i="26"/>
  <c r="H68" i="26"/>
  <c r="G68" i="26"/>
  <c r="F68" i="26"/>
  <c r="F64" i="26" s="1"/>
  <c r="R67" i="26"/>
  <c r="R66" i="26"/>
  <c r="R65" i="26"/>
  <c r="H64" i="26"/>
  <c r="R63" i="26"/>
  <c r="R62" i="26"/>
  <c r="R61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R59" i="26"/>
  <c r="R58" i="26"/>
  <c r="R57" i="26"/>
  <c r="R56" i="26"/>
  <c r="R55" i="26"/>
  <c r="R54" i="26"/>
  <c r="R53" i="26"/>
  <c r="R52" i="26"/>
  <c r="R51" i="26"/>
  <c r="R50" i="26"/>
  <c r="R49" i="26"/>
  <c r="R48" i="26"/>
  <c r="R47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R44" i="26"/>
  <c r="R43" i="26"/>
  <c r="Q42" i="26"/>
  <c r="P42" i="26"/>
  <c r="O42" i="26"/>
  <c r="N42" i="26"/>
  <c r="M42" i="26"/>
  <c r="L42" i="26"/>
  <c r="J42" i="26"/>
  <c r="I42" i="26"/>
  <c r="H42" i="26"/>
  <c r="G42" i="26"/>
  <c r="F42" i="26"/>
  <c r="R41" i="26"/>
  <c r="R40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R38" i="26"/>
  <c r="R37" i="26"/>
  <c r="R36" i="26"/>
  <c r="R35" i="26"/>
  <c r="R34" i="26"/>
  <c r="R33" i="26"/>
  <c r="R32" i="26"/>
  <c r="R31" i="26"/>
  <c r="R30" i="26"/>
  <c r="R29" i="26"/>
  <c r="R28" i="26"/>
  <c r="R27" i="26"/>
  <c r="R26" i="26"/>
  <c r="H25" i="26"/>
  <c r="R25" i="26" s="1"/>
  <c r="H24" i="26"/>
  <c r="H23" i="26"/>
  <c r="R23" i="26" s="1"/>
  <c r="Q22" i="26"/>
  <c r="Q10" i="26" s="1"/>
  <c r="P22" i="26"/>
  <c r="P10" i="26" s="1"/>
  <c r="O22" i="26"/>
  <c r="O10" i="26" s="1"/>
  <c r="N22" i="26"/>
  <c r="N10" i="26" s="1"/>
  <c r="M22" i="26"/>
  <c r="M10" i="26" s="1"/>
  <c r="L22" i="26"/>
  <c r="L10" i="26" s="1"/>
  <c r="K22" i="26"/>
  <c r="K10" i="26" s="1"/>
  <c r="J22" i="26"/>
  <c r="J10" i="26" s="1"/>
  <c r="I22" i="26"/>
  <c r="I10" i="26" s="1"/>
  <c r="G22" i="26"/>
  <c r="F22" i="26"/>
  <c r="H21" i="26"/>
  <c r="R21" i="26" s="1"/>
  <c r="R20" i="26"/>
  <c r="R19" i="26"/>
  <c r="R18" i="26"/>
  <c r="R17" i="26"/>
  <c r="R16" i="26"/>
  <c r="R15" i="26"/>
  <c r="H14" i="26"/>
  <c r="G14" i="26"/>
  <c r="G10" i="26" s="1"/>
  <c r="G9" i="26" s="1"/>
  <c r="F14" i="26"/>
  <c r="H13" i="26"/>
  <c r="G13" i="26"/>
  <c r="F13" i="26"/>
  <c r="R12" i="26"/>
  <c r="R11" i="26"/>
  <c r="Q9" i="26" l="1"/>
  <c r="P9" i="26"/>
  <c r="O45" i="26"/>
  <c r="O9" i="26"/>
  <c r="N9" i="26"/>
  <c r="M9" i="26"/>
  <c r="M45" i="26"/>
  <c r="M81" i="26" s="1"/>
  <c r="R80" i="26"/>
  <c r="N45" i="26"/>
  <c r="F10" i="26"/>
  <c r="R10" i="26" s="1"/>
  <c r="P45" i="26"/>
  <c r="R13" i="26"/>
  <c r="H22" i="26"/>
  <c r="R22" i="26" s="1"/>
  <c r="Q45" i="26"/>
  <c r="L9" i="26"/>
  <c r="L45" i="26"/>
  <c r="K9" i="26"/>
  <c r="K45" i="26"/>
  <c r="K82" i="26" s="1"/>
  <c r="J9" i="26"/>
  <c r="R60" i="26"/>
  <c r="R42" i="26"/>
  <c r="R39" i="26"/>
  <c r="I9" i="26"/>
  <c r="R68" i="26"/>
  <c r="R64" i="26"/>
  <c r="I45" i="26"/>
  <c r="R46" i="26"/>
  <c r="H10" i="26"/>
  <c r="H9" i="26" s="1"/>
  <c r="G81" i="26"/>
  <c r="G82" i="26"/>
  <c r="F45" i="26"/>
  <c r="H45" i="26"/>
  <c r="R24" i="26"/>
  <c r="J45" i="26"/>
  <c r="R14" i="26"/>
  <c r="Q81" i="26" l="1"/>
  <c r="Q82" i="26"/>
  <c r="P81" i="26"/>
  <c r="P82" i="26"/>
  <c r="O82" i="26"/>
  <c r="O81" i="26"/>
  <c r="N81" i="26"/>
  <c r="N82" i="26"/>
  <c r="M82" i="26"/>
  <c r="F9" i="26"/>
  <c r="L82" i="26"/>
  <c r="L81" i="26"/>
  <c r="K81" i="26"/>
  <c r="I82" i="26"/>
  <c r="I81" i="26"/>
  <c r="H81" i="26"/>
  <c r="H82" i="26"/>
  <c r="F81" i="26"/>
  <c r="F82" i="26"/>
  <c r="R45" i="26"/>
  <c r="J82" i="26"/>
  <c r="J81" i="26"/>
  <c r="R9" i="26"/>
  <c r="R82" i="26" l="1"/>
  <c r="R81" i="26"/>
</calcChain>
</file>

<file path=xl/sharedStrings.xml><?xml version="1.0" encoding="utf-8"?>
<sst xmlns="http://schemas.openxmlformats.org/spreadsheetml/2006/main" count="159" uniqueCount="135">
  <si>
    <t>Celkem</t>
  </si>
  <si>
    <t>z toho :</t>
  </si>
  <si>
    <t xml:space="preserve">Spotřeba materiálu </t>
  </si>
  <si>
    <t>Prodané zboží</t>
  </si>
  <si>
    <t>Opravy a udržování</t>
  </si>
  <si>
    <t>Cestovné</t>
  </si>
  <si>
    <t>Náklady na reprezentaci</t>
  </si>
  <si>
    <t>Ostatní služby</t>
  </si>
  <si>
    <t>10.</t>
  </si>
  <si>
    <t>Mzdové náklady</t>
  </si>
  <si>
    <t>12.</t>
  </si>
  <si>
    <t>13.</t>
  </si>
  <si>
    <t>Zákonné sociální pojištění</t>
  </si>
  <si>
    <t>14.</t>
  </si>
  <si>
    <t>15.</t>
  </si>
  <si>
    <t>16.</t>
  </si>
  <si>
    <t>17.</t>
  </si>
  <si>
    <t>25.</t>
  </si>
  <si>
    <t>26.</t>
  </si>
  <si>
    <t>27.</t>
  </si>
  <si>
    <t>28.</t>
  </si>
  <si>
    <t>Daň z příjmu</t>
  </si>
  <si>
    <t>Dodatečné odvody daně z příjmů</t>
  </si>
  <si>
    <t>34.</t>
  </si>
  <si>
    <t>35.</t>
  </si>
  <si>
    <t>36.</t>
  </si>
  <si>
    <t>Manka a škody</t>
  </si>
  <si>
    <t>Číslo účtu</t>
  </si>
  <si>
    <t>531,2,8</t>
  </si>
  <si>
    <t>Odbor zdravotnictví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</si>
  <si>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</si>
  <si>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</si>
  <si>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</si>
  <si>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</si>
  <si>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</si>
  <si>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</si>
  <si>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</si>
  <si>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</si>
  <si>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</si>
  <si>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</si>
  <si>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</si>
  <si>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</si>
  <si>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Dne:</t>
  </si>
  <si>
    <t>Saldo pohledávek a závazků z obchodního styku</t>
  </si>
  <si>
    <t xml:space="preserve"> Závazky po lhůtě splatnosti nad 30 dnů</t>
  </si>
  <si>
    <t xml:space="preserve"> Průměrný plat zaměstnance v Kč </t>
  </si>
  <si>
    <t>Komentář:</t>
  </si>
  <si>
    <t>Výnosy z pronájmu</t>
  </si>
  <si>
    <t xml:space="preserve">Čerpání fondů </t>
  </si>
  <si>
    <t>Ostatní výnosy z činnosti</t>
  </si>
  <si>
    <t>Jiné sociální pojištění</t>
  </si>
  <si>
    <t>Prodaný materiál</t>
  </si>
  <si>
    <t>Ostatní náklady z činnosti</t>
  </si>
  <si>
    <t>Odpisy dlouhodobého majetku</t>
  </si>
  <si>
    <t>Zákonné sociální náklady</t>
  </si>
  <si>
    <t>Jiné sociální náklady</t>
  </si>
  <si>
    <t>Výnosy z prodeje vlastních výrobků</t>
  </si>
  <si>
    <t>Výnosy z prodeje služeb</t>
  </si>
  <si>
    <t>příspěvek na provoz</t>
  </si>
  <si>
    <t>Název účetní položky</t>
  </si>
  <si>
    <t>A. Náklady celkem - účtová tř. 5</t>
  </si>
  <si>
    <t>I. Náklady z činnosti</t>
  </si>
  <si>
    <t>1.</t>
  </si>
  <si>
    <t>2.</t>
  </si>
  <si>
    <t>Spotřeba energie</t>
  </si>
  <si>
    <t>z toho:</t>
  </si>
  <si>
    <t xml:space="preserve"> - elektřina</t>
  </si>
  <si>
    <t xml:space="preserve"> - plyn</t>
  </si>
  <si>
    <t>3.</t>
  </si>
  <si>
    <t>4.</t>
  </si>
  <si>
    <t>8.</t>
  </si>
  <si>
    <t>5.</t>
  </si>
  <si>
    <t>9.</t>
  </si>
  <si>
    <t>6.</t>
  </si>
  <si>
    <t xml:space="preserve"> - mobilní telefony</t>
  </si>
  <si>
    <t xml:space="preserve"> - platy zaměstnanců</t>
  </si>
  <si>
    <t xml:space="preserve"> - OON</t>
  </si>
  <si>
    <t xml:space="preserve"> - náhrady mezd za dočas.prac.neschopnost</t>
  </si>
  <si>
    <t>18.-20.</t>
  </si>
  <si>
    <t>Daně a poplatky</t>
  </si>
  <si>
    <t>Tvorba fondů</t>
  </si>
  <si>
    <t>Náklady z vyřazených pohledávek</t>
  </si>
  <si>
    <t>Náklady z drobného dlouhodob.majetku</t>
  </si>
  <si>
    <t>Ost.náklady,..ZC prod.DNaHM,tvorby zák.rezerv</t>
  </si>
  <si>
    <t>552-9</t>
  </si>
  <si>
    <t>II. Finanční náklady</t>
  </si>
  <si>
    <t>Úroky</t>
  </si>
  <si>
    <t>V. Daň z příjmu</t>
  </si>
  <si>
    <t>B. Výnosy celkem - účtová tř. 6</t>
  </si>
  <si>
    <t>I. Výnosy z činnosti</t>
  </si>
  <si>
    <t>Výnosy z prodaného zboží</t>
  </si>
  <si>
    <t>Jiné výnosy z vlastních výkonů</t>
  </si>
  <si>
    <t>Smluvní pokuty a úroky z prodlení</t>
  </si>
  <si>
    <t>Výnosy z prodeje materiálu</t>
  </si>
  <si>
    <t>Výnosy z prodeje dlouh.nehmot.majetku</t>
  </si>
  <si>
    <t>Výnosy z prodeje dl.hmot.maj., kromě pozemků</t>
  </si>
  <si>
    <t>Výnosy z prodeje pozemků</t>
  </si>
  <si>
    <t>II. Finanční výnosy</t>
  </si>
  <si>
    <t>Ostatní finanční výnosy</t>
  </si>
  <si>
    <t>IV. Výnosy z transferů</t>
  </si>
  <si>
    <t>Výnosy vybr.míst.vlád.institucí transferů - ÚSC (kraj,obce)</t>
  </si>
  <si>
    <t>příspěvek na provoz-odpisy</t>
  </si>
  <si>
    <t>ostatní / dotace od obcí, atd.</t>
  </si>
  <si>
    <t>C.</t>
  </si>
  <si>
    <t>VÝSLEDEK HOSPODAŘENÍ PŘED ZDANĚNÍM</t>
  </si>
  <si>
    <t>VÝSLEDEK HOSPODAŘENÍ BĚŽNÉHO ÚČ.OBD./B-A/</t>
  </si>
  <si>
    <t xml:space="preserve">Transferový podíl odpisy </t>
  </si>
  <si>
    <t>Zpracovala:</t>
  </si>
  <si>
    <t>Ing. Eva Podvolecká</t>
  </si>
  <si>
    <t>Název PO : Odborný léčebný ústav Paseka, p.o.</t>
  </si>
  <si>
    <t>542, 547</t>
  </si>
  <si>
    <t>příspěvek na provoz - na opravy</t>
  </si>
  <si>
    <t>Výnosy ze státního fondu EU</t>
  </si>
  <si>
    <t>příspěvek na provoz - SH</t>
  </si>
  <si>
    <t>Výnosy vybr.míst.vlád.institucí transferů - SR - dotace z Úřadu práce</t>
  </si>
  <si>
    <t>vedoucí ekonomického a personálního oddělení</t>
  </si>
  <si>
    <t>v Kč</t>
  </si>
  <si>
    <t>Vyřazené pohledávky</t>
  </si>
  <si>
    <t>7.</t>
  </si>
  <si>
    <t>11.</t>
  </si>
  <si>
    <t>Kurzové rozdíly</t>
  </si>
  <si>
    <t xml:space="preserve">Výnosy ze státního rozpočtu </t>
  </si>
  <si>
    <t>příspěvek na provoz účelově určený</t>
  </si>
  <si>
    <t>Průměrný přepočtený počet zaměstnanců</t>
  </si>
  <si>
    <t>příspěvek od zřizovatele - pojistné plnění</t>
  </si>
  <si>
    <t xml:space="preserve">příspěvek od zřizovatele </t>
  </si>
  <si>
    <t>Kurzové zisky</t>
  </si>
  <si>
    <t>Náklady i výnosy jsou v souladu s ročním plánem rozpočtu.</t>
  </si>
  <si>
    <t>Skutečné náklady a výnosy PO - rok 2023</t>
  </si>
  <si>
    <t>příspěvek na provoz - plyn</t>
  </si>
  <si>
    <t>příspěvek na provoz - elektrická energie</t>
  </si>
  <si>
    <t>44,879,43</t>
  </si>
  <si>
    <t>příspěvek na provoz - na mzdy</t>
  </si>
  <si>
    <t>506, 507</t>
  </si>
  <si>
    <t>Aktivace dlouhodobého majetku / aktivace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</si>
</sst>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\ _K_č_-;\-* #,##0.0\ _K_č_-;_-* &quot;-&quot;?\ _K_č_-;_-@_-"/>
    <numFmt numFmtId="165" formatCode="#,##0.0_ ;\-#,##0.0\ "/>
    <numFmt numFmtId="166" formatCode="#,##0.000_ ;\-#,##0.000\ 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omic Sans MS"/>
      <family val="4"/>
      <charset val="238"/>
    </font>
    <font>
      <sz val="8"/>
      <name val="Arial"/>
      <family val="2"/>
      <charset val="238"/>
    </font>
    <font>
      <b/>
      <sz val="10"/>
      <name val="Comic Sans MS"/>
      <family val="4"/>
      <charset val="238"/>
    </font>
    <font>
      <sz val="8"/>
      <name val="Comic Sans MS"/>
      <family val="4"/>
      <charset val="238"/>
    </font>
    <font>
      <b/>
      <sz val="10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4"/>
      <name val="Arial Black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Comic Sans MS"/>
      <family val="4"/>
      <charset val="238"/>
    </font>
    <font>
      <b/>
      <sz val="12"/>
      <name val="Comic Sans MS"/>
      <family val="4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19"/>
      </left>
      <right style="medium">
        <color indexed="19"/>
      </right>
      <top/>
      <bottom/>
      <diagonal/>
    </border>
    <border>
      <left style="medium">
        <color indexed="19"/>
      </left>
      <right style="medium">
        <color indexed="19"/>
      </right>
      <top style="hair">
        <color indexed="64"/>
      </top>
      <bottom style="hair">
        <color indexed="64"/>
      </bottom>
      <diagonal/>
    </border>
    <border>
      <left style="medium">
        <color indexed="19"/>
      </left>
      <right style="medium">
        <color indexed="19"/>
      </right>
      <top style="hair">
        <color indexed="64"/>
      </top>
      <bottom/>
      <diagonal/>
    </border>
    <border>
      <left style="medium">
        <color indexed="19"/>
      </left>
      <right style="medium">
        <color indexed="19"/>
      </right>
      <top/>
      <bottom style="hair">
        <color indexed="64"/>
      </bottom>
      <diagonal/>
    </border>
    <border>
      <left style="thick">
        <color indexed="19"/>
      </left>
      <right style="thick">
        <color indexed="19"/>
      </right>
      <top style="thick">
        <color indexed="19"/>
      </top>
      <bottom/>
      <diagonal/>
    </border>
    <border>
      <left style="medium">
        <color indexed="19"/>
      </left>
      <right style="medium">
        <color indexed="19"/>
      </right>
      <top/>
      <bottom style="thin">
        <color indexed="64"/>
      </bottom>
      <diagonal/>
    </border>
    <border>
      <left style="thick">
        <color indexed="19"/>
      </left>
      <right style="thick">
        <color indexed="19"/>
      </right>
      <top/>
      <bottom/>
      <diagonal/>
    </border>
    <border>
      <left style="thick">
        <color indexed="19"/>
      </left>
      <right style="hair">
        <color indexed="19"/>
      </right>
      <top style="medium">
        <color indexed="19"/>
      </top>
      <bottom style="medium">
        <color indexed="19"/>
      </bottom>
      <diagonal/>
    </border>
    <border>
      <left/>
      <right/>
      <top style="medium">
        <color indexed="19"/>
      </top>
      <bottom style="medium">
        <color indexed="19"/>
      </bottom>
      <diagonal/>
    </border>
    <border>
      <left style="medium">
        <color indexed="19"/>
      </left>
      <right style="medium">
        <color indexed="19"/>
      </right>
      <top style="medium">
        <color indexed="19"/>
      </top>
      <bottom style="medium">
        <color indexed="19"/>
      </bottom>
      <diagonal/>
    </border>
    <border>
      <left style="thick">
        <color indexed="19"/>
      </left>
      <right style="thick">
        <color indexed="19"/>
      </right>
      <top style="medium">
        <color indexed="19"/>
      </top>
      <bottom style="medium">
        <color indexed="19"/>
      </bottom>
      <diagonal/>
    </border>
    <border>
      <left style="thin">
        <color indexed="19"/>
      </left>
      <right style="medium">
        <color indexed="19"/>
      </right>
      <top style="medium">
        <color indexed="19"/>
      </top>
      <bottom style="medium">
        <color indexed="19"/>
      </bottom>
      <diagonal/>
    </border>
    <border>
      <left style="thin">
        <color indexed="19"/>
      </left>
      <right style="medium">
        <color indexed="19"/>
      </right>
      <top/>
      <bottom style="hair">
        <color indexed="64"/>
      </bottom>
      <diagonal/>
    </border>
    <border>
      <left style="thin">
        <color indexed="19"/>
      </left>
      <right style="medium">
        <color indexed="19"/>
      </right>
      <top style="hair">
        <color indexed="64"/>
      </top>
      <bottom style="hair">
        <color indexed="64"/>
      </bottom>
      <diagonal/>
    </border>
    <border>
      <left style="thin">
        <color indexed="19"/>
      </left>
      <right style="medium">
        <color indexed="19"/>
      </right>
      <top style="hair">
        <color indexed="64"/>
      </top>
      <bottom style="thick">
        <color indexed="19"/>
      </bottom>
      <diagonal/>
    </border>
    <border>
      <left style="thin">
        <color indexed="19"/>
      </left>
      <right style="medium">
        <color indexed="19"/>
      </right>
      <top style="hair">
        <color indexed="64"/>
      </top>
      <bottom/>
      <diagonal/>
    </border>
    <border>
      <left style="thick">
        <color indexed="19"/>
      </left>
      <right/>
      <top/>
      <bottom/>
      <diagonal/>
    </border>
    <border>
      <left style="medium">
        <color indexed="19"/>
      </left>
      <right style="medium">
        <color indexed="19"/>
      </right>
      <top style="thick">
        <color indexed="19"/>
      </top>
      <bottom/>
      <diagonal/>
    </border>
    <border>
      <left style="thick">
        <color indexed="19"/>
      </left>
      <right style="thick">
        <color indexed="19"/>
      </right>
      <top style="thin">
        <color indexed="64"/>
      </top>
      <bottom style="medium">
        <color indexed="19"/>
      </bottom>
      <diagonal/>
    </border>
    <border>
      <left style="thick">
        <color indexed="19"/>
      </left>
      <right style="thick">
        <color indexed="19"/>
      </right>
      <top/>
      <bottom style="hair">
        <color indexed="64"/>
      </bottom>
      <diagonal/>
    </border>
    <border>
      <left style="thick">
        <color indexed="19"/>
      </left>
      <right style="thick">
        <color indexed="19"/>
      </right>
      <top style="hair">
        <color indexed="64"/>
      </top>
      <bottom style="hair">
        <color indexed="64"/>
      </bottom>
      <diagonal/>
    </border>
    <border>
      <left style="thick">
        <color indexed="19"/>
      </left>
      <right style="thick">
        <color indexed="19"/>
      </right>
      <top style="hair">
        <color indexed="64"/>
      </top>
      <bottom/>
      <diagonal/>
    </border>
    <border>
      <left style="thin">
        <color indexed="19"/>
      </left>
      <right style="medium">
        <color indexed="19"/>
      </right>
      <top style="medium">
        <color indexed="19"/>
      </top>
      <bottom style="hair">
        <color indexed="64"/>
      </bottom>
      <diagonal/>
    </border>
    <border>
      <left style="medium">
        <color indexed="19"/>
      </left>
      <right style="medium">
        <color indexed="19"/>
      </right>
      <top style="medium">
        <color indexed="19"/>
      </top>
      <bottom style="hair">
        <color indexed="64"/>
      </bottom>
      <diagonal/>
    </border>
    <border>
      <left/>
      <right style="medium">
        <color indexed="19"/>
      </right>
      <top style="medium">
        <color indexed="19"/>
      </top>
      <bottom style="hair">
        <color indexed="64"/>
      </bottom>
      <diagonal/>
    </border>
    <border>
      <left style="medium">
        <color indexed="19"/>
      </left>
      <right style="medium">
        <color indexed="19"/>
      </right>
      <top style="hair">
        <color indexed="64"/>
      </top>
      <bottom style="thick">
        <color indexed="19"/>
      </bottom>
      <diagonal/>
    </border>
    <border>
      <left/>
      <right style="medium">
        <color indexed="19"/>
      </right>
      <top style="hair">
        <color indexed="64"/>
      </top>
      <bottom style="thick">
        <color indexed="19"/>
      </bottom>
      <diagonal/>
    </border>
    <border>
      <left style="thin">
        <color indexed="19"/>
      </left>
      <right style="medium">
        <color indexed="19"/>
      </right>
      <top style="thick">
        <color indexed="19"/>
      </top>
      <bottom style="hair">
        <color indexed="64"/>
      </bottom>
      <diagonal/>
    </border>
    <border diagonalUp="1" diagonalDown="1">
      <left style="thick">
        <color indexed="19"/>
      </left>
      <right style="thick">
        <color indexed="19"/>
      </right>
      <top style="thick">
        <color indexed="19"/>
      </top>
      <bottom style="hair">
        <color indexed="64"/>
      </bottom>
      <diagonal style="thin">
        <color indexed="19"/>
      </diagonal>
    </border>
    <border diagonalUp="1" diagonalDown="1">
      <left style="thick">
        <color indexed="19"/>
      </left>
      <right style="thick">
        <color indexed="19"/>
      </right>
      <top style="hair">
        <color indexed="64"/>
      </top>
      <bottom style="thick">
        <color indexed="19"/>
      </bottom>
      <diagonal style="thin">
        <color indexed="19"/>
      </diagonal>
    </border>
    <border>
      <left/>
      <right/>
      <top style="thick">
        <color indexed="19"/>
      </top>
      <bottom/>
      <diagonal/>
    </border>
    <border>
      <left style="thick">
        <color indexed="19"/>
      </left>
      <right style="hair">
        <color indexed="19"/>
      </right>
      <top/>
      <bottom style="hair">
        <color indexed="64"/>
      </bottom>
      <diagonal/>
    </border>
    <border>
      <left style="thick">
        <color indexed="19"/>
      </left>
      <right style="hair">
        <color indexed="19"/>
      </right>
      <top style="thick">
        <color indexed="19"/>
      </top>
      <bottom style="hair">
        <color indexed="64"/>
      </bottom>
      <diagonal/>
    </border>
    <border>
      <left style="thick">
        <color indexed="19"/>
      </left>
      <right style="hair">
        <color indexed="19"/>
      </right>
      <top style="hair">
        <color indexed="64"/>
      </top>
      <bottom style="thick">
        <color indexed="19"/>
      </bottom>
      <diagonal/>
    </border>
    <border>
      <left style="thick">
        <color indexed="19"/>
      </left>
      <right style="hair">
        <color indexed="19"/>
      </right>
      <top style="medium">
        <color indexed="19"/>
      </top>
      <bottom style="hair">
        <color indexed="64"/>
      </bottom>
      <diagonal/>
    </border>
    <border>
      <left style="medium">
        <color indexed="19"/>
      </left>
      <right style="medium">
        <color indexed="19"/>
      </right>
      <top style="thick">
        <color indexed="19"/>
      </top>
      <bottom style="hair">
        <color indexed="64"/>
      </bottom>
      <diagonal/>
    </border>
    <border>
      <left style="thick">
        <color indexed="19"/>
      </left>
      <right style="thick">
        <color indexed="19"/>
      </right>
      <top style="thick">
        <color indexed="19"/>
      </top>
      <bottom style="hair">
        <color indexed="64"/>
      </bottom>
      <diagonal/>
    </border>
    <border>
      <left style="thick">
        <color indexed="19"/>
      </left>
      <right style="thick">
        <color indexed="19"/>
      </right>
      <top style="hair">
        <color indexed="64"/>
      </top>
      <bottom style="thick">
        <color indexed="19"/>
      </bottom>
      <diagonal/>
    </border>
    <border>
      <left style="thin">
        <color indexed="19"/>
      </left>
      <right style="medium">
        <color indexed="19"/>
      </right>
      <top style="thick">
        <color indexed="19"/>
      </top>
      <bottom/>
      <diagonal/>
    </border>
    <border>
      <left style="thin">
        <color indexed="19"/>
      </left>
      <right style="medium">
        <color indexed="19"/>
      </right>
      <top/>
      <bottom/>
      <diagonal/>
    </border>
    <border>
      <left style="thin">
        <color indexed="19"/>
      </left>
      <right style="medium">
        <color indexed="19"/>
      </right>
      <top/>
      <bottom style="medium">
        <color indexed="19"/>
      </bottom>
      <diagonal/>
    </border>
    <border>
      <left style="hair">
        <color indexed="19"/>
      </left>
      <right/>
      <top style="hair">
        <color indexed="64"/>
      </top>
      <bottom style="thick">
        <color indexed="19"/>
      </bottom>
      <diagonal/>
    </border>
    <border>
      <left/>
      <right/>
      <top style="hair">
        <color indexed="64"/>
      </top>
      <bottom style="thick">
        <color indexed="19"/>
      </bottom>
      <diagonal/>
    </border>
    <border>
      <left/>
      <right style="thin">
        <color indexed="19"/>
      </right>
      <top style="hair">
        <color indexed="64"/>
      </top>
      <bottom style="thick">
        <color indexed="19"/>
      </bottom>
      <diagonal/>
    </border>
    <border>
      <left style="hair">
        <color indexed="19"/>
      </left>
      <right/>
      <top style="thick">
        <color indexed="19"/>
      </top>
      <bottom style="hair">
        <color indexed="64"/>
      </bottom>
      <diagonal/>
    </border>
    <border>
      <left/>
      <right/>
      <top style="thick">
        <color indexed="19"/>
      </top>
      <bottom style="hair">
        <color indexed="64"/>
      </bottom>
      <diagonal/>
    </border>
    <border>
      <left/>
      <right style="thin">
        <color indexed="19"/>
      </right>
      <top style="thick">
        <color indexed="19"/>
      </top>
      <bottom style="hair">
        <color indexed="64"/>
      </bottom>
      <diagonal/>
    </border>
    <border>
      <left/>
      <right style="thin">
        <color indexed="19"/>
      </right>
      <top style="hair">
        <color indexed="64"/>
      </top>
      <bottom style="hair">
        <color indexed="64"/>
      </bottom>
      <diagonal/>
    </border>
    <border>
      <left/>
      <right style="thin">
        <color indexed="19"/>
      </right>
      <top style="thick">
        <color indexed="19"/>
      </top>
      <bottom/>
      <diagonal/>
    </border>
    <border>
      <left/>
      <right style="thin">
        <color indexed="19"/>
      </right>
      <top/>
      <bottom/>
      <diagonal/>
    </border>
    <border>
      <left/>
      <right/>
      <top/>
      <bottom style="medium">
        <color indexed="19"/>
      </bottom>
      <diagonal/>
    </border>
    <border>
      <left/>
      <right style="thin">
        <color indexed="19"/>
      </right>
      <top/>
      <bottom style="medium">
        <color indexed="19"/>
      </bottom>
      <diagonal/>
    </border>
    <border>
      <left style="thick">
        <color indexed="19"/>
      </left>
      <right/>
      <top style="thick">
        <color indexed="19"/>
      </top>
      <bottom/>
      <diagonal/>
    </border>
    <border>
      <left style="thick">
        <color indexed="19"/>
      </left>
      <right/>
      <top/>
      <bottom style="medium">
        <color indexed="19"/>
      </bottom>
      <diagonal/>
    </border>
    <border>
      <left style="thick">
        <color indexed="19"/>
      </left>
      <right/>
      <top style="medium">
        <color indexed="19"/>
      </top>
      <bottom style="medium">
        <color indexed="19"/>
      </bottom>
      <diagonal/>
    </border>
    <border>
      <left style="thick">
        <color indexed="19"/>
      </left>
      <right/>
      <top/>
      <bottom style="hair">
        <color indexed="64"/>
      </bottom>
      <diagonal/>
    </border>
    <border>
      <left style="hair">
        <color rgb="FF808000"/>
      </left>
      <right style="hair">
        <color rgb="FF808000"/>
      </right>
      <top style="hair">
        <color indexed="64"/>
      </top>
      <bottom style="hair">
        <color indexed="64"/>
      </bottom>
      <diagonal/>
    </border>
    <border>
      <left style="thick">
        <color indexed="19"/>
      </left>
      <right/>
      <top style="hair">
        <color indexed="64"/>
      </top>
      <bottom style="hair">
        <color indexed="64"/>
      </bottom>
      <diagonal/>
    </border>
    <border>
      <left style="medium">
        <color indexed="19"/>
      </left>
      <right style="thick">
        <color indexed="19"/>
      </right>
      <top style="hair">
        <color indexed="64"/>
      </top>
      <bottom style="hair">
        <color indexed="64"/>
      </bottom>
      <diagonal/>
    </border>
    <border>
      <left style="thick">
        <color indexed="19"/>
      </left>
      <right/>
      <top style="hair">
        <color indexed="64"/>
      </top>
      <bottom/>
      <diagonal/>
    </border>
    <border>
      <left style="thick">
        <color indexed="19"/>
      </left>
      <right/>
      <top style="thin">
        <color indexed="19"/>
      </top>
      <bottom style="hair">
        <color indexed="64"/>
      </bottom>
      <diagonal/>
    </border>
    <border>
      <left style="hair">
        <color rgb="FF808000"/>
      </left>
      <right style="hair">
        <color rgb="FF808000"/>
      </right>
      <top/>
      <bottom/>
      <diagonal/>
    </border>
    <border>
      <left style="hair">
        <color rgb="FF808000"/>
      </left>
      <right style="hair">
        <color rgb="FF808000"/>
      </right>
      <top/>
      <bottom style="medium">
        <color indexed="19"/>
      </bottom>
      <diagonal/>
    </border>
    <border>
      <left style="hair">
        <color rgb="FF808000"/>
      </left>
      <right style="hair">
        <color rgb="FF808000"/>
      </right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3" xfId="0" applyBorder="1"/>
    <xf numFmtId="0" fontId="7" fillId="0" borderId="0" xfId="0" applyFont="1"/>
    <xf numFmtId="0" fontId="8" fillId="0" borderId="0" xfId="0" applyFont="1"/>
    <xf numFmtId="0" fontId="0" fillId="0" borderId="4" xfId="0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horizontal="center"/>
    </xf>
    <xf numFmtId="0" fontId="1" fillId="0" borderId="0" xfId="0" applyFont="1"/>
    <xf numFmtId="0" fontId="6" fillId="0" borderId="10" xfId="0" applyFont="1" applyBorder="1" applyAlignment="1">
      <alignment horizontal="center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0" xfId="0" applyFont="1"/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22" xfId="0" applyFont="1" applyBorder="1" applyAlignment="1">
      <alignment horizontal="center"/>
    </xf>
    <xf numFmtId="3" fontId="6" fillId="0" borderId="23" xfId="0" applyNumberFormat="1" applyFont="1" applyBorder="1"/>
    <xf numFmtId="3" fontId="6" fillId="0" borderId="25" xfId="0" applyNumberFormat="1" applyFont="1" applyBorder="1"/>
    <xf numFmtId="0" fontId="0" fillId="0" borderId="0" xfId="0" applyAlignment="1">
      <alignment horizontal="right"/>
    </xf>
    <xf numFmtId="164" fontId="0" fillId="0" borderId="26" xfId="0" applyNumberFormat="1" applyBorder="1" applyAlignment="1">
      <alignment horizontal="center"/>
    </xf>
    <xf numFmtId="3" fontId="0" fillId="0" borderId="27" xfId="0" applyNumberFormat="1" applyBorder="1"/>
    <xf numFmtId="3" fontId="10" fillId="0" borderId="28" xfId="0" applyNumberFormat="1" applyFont="1" applyBorder="1"/>
    <xf numFmtId="3" fontId="0" fillId="0" borderId="29" xfId="0" applyNumberFormat="1" applyBorder="1"/>
    <xf numFmtId="3" fontId="10" fillId="0" borderId="30" xfId="0" applyNumberFormat="1" applyFont="1" applyBorder="1"/>
    <xf numFmtId="164" fontId="0" fillId="0" borderId="31" xfId="0" applyNumberFormat="1" applyBorder="1" applyAlignment="1">
      <alignment horizontal="center"/>
    </xf>
    <xf numFmtId="3" fontId="6" fillId="0" borderId="32" xfId="0" applyNumberFormat="1" applyFont="1" applyBorder="1"/>
    <xf numFmtId="3" fontId="6" fillId="0" borderId="33" xfId="0" applyNumberFormat="1" applyFont="1" applyBorder="1"/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165" fontId="0" fillId="0" borderId="39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6" fillId="0" borderId="41" xfId="0" applyNumberFormat="1" applyFont="1" applyBorder="1" applyAlignment="1">
      <alignment horizontal="right"/>
    </xf>
    <xf numFmtId="0" fontId="12" fillId="0" borderId="11" xfId="0" applyFont="1" applyBorder="1" applyAlignment="1">
      <alignment shrinkToFit="1"/>
    </xf>
    <xf numFmtId="0" fontId="11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2" borderId="58" xfId="0" applyFont="1" applyFill="1" applyBorder="1"/>
    <xf numFmtId="0" fontId="4" fillId="2" borderId="12" xfId="0" applyFont="1" applyFill="1" applyBorder="1"/>
    <xf numFmtId="0" fontId="4" fillId="2" borderId="15" xfId="0" applyFont="1" applyFill="1" applyBorder="1"/>
    <xf numFmtId="3" fontId="4" fillId="2" borderId="13" xfId="0" applyNumberFormat="1" applyFont="1" applyFill="1" applyBorder="1"/>
    <xf numFmtId="3" fontId="4" fillId="2" borderId="14" xfId="0" applyNumberFormat="1" applyFont="1" applyFill="1" applyBorder="1"/>
    <xf numFmtId="0" fontId="6" fillId="0" borderId="35" xfId="0" applyFont="1" applyBorder="1"/>
    <xf numFmtId="0" fontId="4" fillId="0" borderId="3" xfId="0" applyFont="1" applyBorder="1"/>
    <xf numFmtId="0" fontId="4" fillId="0" borderId="16" xfId="0" applyFont="1" applyBorder="1"/>
    <xf numFmtId="3" fontId="6" fillId="0" borderId="7" xfId="0" applyNumberFormat="1" applyFont="1" applyBorder="1"/>
    <xf numFmtId="0" fontId="5" fillId="0" borderId="59" xfId="0" applyFont="1" applyBorder="1"/>
    <xf numFmtId="0" fontId="12" fillId="0" borderId="60" xfId="0" applyFont="1" applyBorder="1" applyAlignment="1">
      <alignment horizontal="center"/>
    </xf>
    <xf numFmtId="3" fontId="0" fillId="0" borderId="23" xfId="0" applyNumberFormat="1" applyBorder="1"/>
    <xf numFmtId="3" fontId="11" fillId="0" borderId="7" xfId="0" applyNumberFormat="1" applyFont="1" applyBorder="1"/>
    <xf numFmtId="0" fontId="5" fillId="0" borderId="61" xfId="0" applyFont="1" applyBorder="1"/>
    <xf numFmtId="0" fontId="5" fillId="0" borderId="60" xfId="0" applyFont="1" applyBorder="1" applyAlignment="1">
      <alignment horizontal="center"/>
    </xf>
    <xf numFmtId="3" fontId="11" fillId="0" borderId="5" xfId="0" applyNumberFormat="1" applyFont="1" applyBorder="1"/>
    <xf numFmtId="3" fontId="0" fillId="0" borderId="25" xfId="0" applyNumberFormat="1" applyBorder="1"/>
    <xf numFmtId="0" fontId="13" fillId="0" borderId="1" xfId="0" applyFont="1" applyBorder="1"/>
    <xf numFmtId="49" fontId="13" fillId="0" borderId="1" xfId="0" applyNumberFormat="1" applyFont="1" applyBorder="1"/>
    <xf numFmtId="0" fontId="11" fillId="0" borderId="1" xfId="0" applyFont="1" applyBorder="1"/>
    <xf numFmtId="0" fontId="0" fillId="0" borderId="60" xfId="0" applyBorder="1"/>
    <xf numFmtId="3" fontId="11" fillId="0" borderId="62" xfId="0" applyNumberFormat="1" applyFont="1" applyBorder="1"/>
    <xf numFmtId="3" fontId="0" fillId="0" borderId="24" xfId="0" applyNumberFormat="1" applyBorder="1"/>
    <xf numFmtId="0" fontId="5" fillId="0" borderId="63" xfId="0" applyFont="1" applyBorder="1"/>
    <xf numFmtId="0" fontId="11" fillId="0" borderId="1" xfId="0" applyFont="1" applyBorder="1" applyAlignment="1">
      <alignment shrinkToFit="1"/>
    </xf>
    <xf numFmtId="0" fontId="11" fillId="0" borderId="19" xfId="0" applyFont="1" applyBorder="1" applyAlignment="1">
      <alignment horizontal="center" shrinkToFit="1"/>
    </xf>
    <xf numFmtId="3" fontId="11" fillId="0" borderId="6" xfId="0" applyNumberFormat="1" applyFont="1" applyBorder="1"/>
    <xf numFmtId="0" fontId="6" fillId="0" borderId="64" xfId="0" applyFont="1" applyBorder="1"/>
    <xf numFmtId="3" fontId="6" fillId="0" borderId="6" xfId="0" applyNumberFormat="1" applyFont="1" applyBorder="1"/>
    <xf numFmtId="0" fontId="5" fillId="0" borderId="65" xfId="0" applyFont="1" applyBorder="1" applyAlignment="1">
      <alignment horizontal="center"/>
    </xf>
    <xf numFmtId="0" fontId="11" fillId="0" borderId="0" xfId="0" applyFont="1" applyAlignment="1">
      <alignment shrinkToFit="1"/>
    </xf>
    <xf numFmtId="0" fontId="11" fillId="0" borderId="43" xfId="0" applyFont="1" applyBorder="1" applyAlignment="1">
      <alignment horizontal="center" shrinkToFit="1"/>
    </xf>
    <xf numFmtId="0" fontId="5" fillId="0" borderId="66" xfId="0" applyFont="1" applyBorder="1" applyAlignment="1">
      <alignment horizontal="center"/>
    </xf>
    <xf numFmtId="0" fontId="11" fillId="0" borderId="0" xfId="0" applyFont="1"/>
    <xf numFmtId="0" fontId="0" fillId="2" borderId="12" xfId="0" applyFill="1" applyBorder="1"/>
    <xf numFmtId="0" fontId="0" fillId="2" borderId="15" xfId="0" applyFill="1" applyBorder="1" applyAlignment="1">
      <alignment horizontal="center"/>
    </xf>
    <xf numFmtId="3" fontId="9" fillId="2" borderId="13" xfId="0" applyNumberFormat="1" applyFont="1" applyFill="1" applyBorder="1"/>
    <xf numFmtId="3" fontId="9" fillId="2" borderId="14" xfId="0" applyNumberFormat="1" applyFont="1" applyFill="1" applyBorder="1"/>
    <xf numFmtId="0" fontId="12" fillId="0" borderId="3" xfId="0" applyFont="1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1" xfId="0" applyBorder="1"/>
    <xf numFmtId="0" fontId="11" fillId="0" borderId="17" xfId="0" applyFont="1" applyBorder="1" applyAlignment="1">
      <alignment horizontal="center"/>
    </xf>
    <xf numFmtId="0" fontId="11" fillId="0" borderId="2" xfId="0" applyFont="1" applyBorder="1"/>
    <xf numFmtId="0" fontId="11" fillId="0" borderId="17" xfId="0" applyFont="1" applyBorder="1" applyAlignment="1">
      <alignment horizontal="center" vertical="justify"/>
    </xf>
    <xf numFmtId="0" fontId="11" fillId="0" borderId="1" xfId="0" applyFont="1" applyBorder="1" applyAlignment="1">
      <alignment horizontal="left"/>
    </xf>
    <xf numFmtId="0" fontId="0" fillId="0" borderId="67" xfId="0" applyBorder="1"/>
    <xf numFmtId="0" fontId="12" fillId="0" borderId="60" xfId="0" applyFont="1" applyBorder="1"/>
    <xf numFmtId="0" fontId="4" fillId="2" borderId="11" xfId="0" applyFont="1" applyFill="1" applyBorder="1"/>
    <xf numFmtId="0" fontId="14" fillId="2" borderId="11" xfId="0" applyFont="1" applyFill="1" applyBorder="1"/>
    <xf numFmtId="3" fontId="6" fillId="2" borderId="13" xfId="0" applyNumberFormat="1" applyFont="1" applyFill="1" applyBorder="1"/>
    <xf numFmtId="14" fontId="1" fillId="0" borderId="0" xfId="0" applyNumberFormat="1" applyFont="1"/>
    <xf numFmtId="0" fontId="15" fillId="0" borderId="0" xfId="0" applyFont="1" applyAlignment="1">
      <alignment horizontal="left"/>
    </xf>
    <xf numFmtId="0" fontId="5" fillId="0" borderId="20" xfId="0" applyFont="1" applyBorder="1"/>
    <xf numFmtId="0" fontId="0" fillId="0" borderId="43" xfId="0" applyBorder="1" applyAlignment="1">
      <alignment horizontal="center"/>
    </xf>
    <xf numFmtId="3" fontId="11" fillId="0" borderId="4" xfId="0" applyNumberFormat="1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/>
    </xf>
    <xf numFmtId="3" fontId="1" fillId="0" borderId="5" xfId="0" applyNumberFormat="1" applyFont="1" applyBorder="1"/>
    <xf numFmtId="0" fontId="1" fillId="0" borderId="1" xfId="0" applyFont="1" applyBorder="1"/>
    <xf numFmtId="2" fontId="10" fillId="0" borderId="68" xfId="0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>
      <alignment vertical="center"/>
    </xf>
    <xf numFmtId="3" fontId="1" fillId="0" borderId="6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/>
    <xf numFmtId="3" fontId="10" fillId="0" borderId="0" xfId="0" applyNumberFormat="1" applyFont="1"/>
    <xf numFmtId="3" fontId="6" fillId="0" borderId="0" xfId="0" applyNumberFormat="1" applyFont="1"/>
    <xf numFmtId="3" fontId="1" fillId="0" borderId="4" xfId="0" applyNumberFormat="1" applyFont="1" applyBorder="1"/>
    <xf numFmtId="3" fontId="1" fillId="0" borderId="29" xfId="0" applyNumberFormat="1" applyFont="1" applyBorder="1" applyAlignment="1">
      <alignment horizontal="right"/>
    </xf>
    <xf numFmtId="166" fontId="6" fillId="0" borderId="40" xfId="0" applyNumberFormat="1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64" fontId="1" fillId="0" borderId="48" xfId="0" applyNumberFormat="1" applyFont="1" applyBorder="1"/>
    <xf numFmtId="164" fontId="0" fillId="0" borderId="49" xfId="0" applyNumberFormat="1" applyBorder="1"/>
    <xf numFmtId="164" fontId="0" fillId="0" borderId="50" xfId="0" applyNumberForma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164" fontId="0" fillId="0" borderId="48" xfId="0" applyNumberFormat="1" applyBorder="1"/>
    <xf numFmtId="0" fontId="12" fillId="0" borderId="42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93"/>
  <sheetViews>
    <sheetView tabSelected="1" topLeftCell="A40" workbookViewId="0">
      <selection activeCell="Q20" sqref="Q20"/>
    </sheetView>
  </sheetViews>
  <sheetFormatPr defaultRowHeight="12.75" x14ac:dyDescent="0.2"/>
  <cols>
    <col min="1" max="1" width="2.7109375" customWidth="1"/>
    <col min="2" max="2" width="4.5703125" customWidth="1"/>
    <col min="3" max="3" width="6.42578125" customWidth="1"/>
    <col min="4" max="4" width="52.140625" customWidth="1"/>
    <col min="5" max="5" width="9.28515625" customWidth="1"/>
    <col min="6" max="6" width="12.42578125" customWidth="1"/>
    <col min="7" max="7" width="11.7109375" customWidth="1"/>
    <col min="8" max="8" width="12.140625" customWidth="1"/>
    <col min="9" max="9" width="12.7109375" customWidth="1"/>
    <col min="10" max="10" width="12.140625" customWidth="1"/>
    <col min="11" max="11" width="12.42578125" customWidth="1"/>
    <col min="12" max="12" width="12.28515625" customWidth="1"/>
    <col min="13" max="13" width="11.7109375" customWidth="1"/>
    <col min="14" max="14" width="12.28515625" customWidth="1"/>
    <col min="15" max="15" width="11.5703125" customWidth="1"/>
    <col min="16" max="16" width="11.85546875" customWidth="1"/>
    <col min="17" max="17" width="11.5703125" customWidth="1"/>
    <col min="18" max="18" width="16.28515625" customWidth="1"/>
    <col min="21" max="21" width="17.140625" customWidth="1"/>
  </cols>
  <sheetData>
    <row r="1" spans="1:18" ht="18" customHeight="1" x14ac:dyDescent="0.45">
      <c r="A1" s="1" t="s">
        <v>29</v>
      </c>
      <c r="G1" s="94" t="s">
        <v>109</v>
      </c>
      <c r="P1" s="5"/>
      <c r="Q1" s="10"/>
    </row>
    <row r="2" spans="1:18" ht="5.25" customHeight="1" x14ac:dyDescent="0.2">
      <c r="A2" s="2"/>
    </row>
    <row r="3" spans="1:18" ht="19.5" customHeight="1" x14ac:dyDescent="0.45">
      <c r="A3" s="6" t="s">
        <v>128</v>
      </c>
      <c r="R3" s="18" t="s">
        <v>116</v>
      </c>
    </row>
    <row r="4" spans="1:18" ht="5.25" customHeight="1" thickBot="1" x14ac:dyDescent="0.25"/>
    <row r="5" spans="1:18" ht="11.25" customHeight="1" thickTop="1" x14ac:dyDescent="0.2">
      <c r="A5" s="137" t="s">
        <v>59</v>
      </c>
      <c r="B5" s="119"/>
      <c r="C5" s="119"/>
      <c r="D5" s="120"/>
      <c r="E5" s="136" t="s">
        <v>27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8"/>
    </row>
    <row r="6" spans="1:18" ht="12.75" customHeight="1" x14ac:dyDescent="0.35">
      <c r="A6" s="121"/>
      <c r="B6" s="122"/>
      <c r="C6" s="122"/>
      <c r="D6" s="123"/>
      <c r="E6" s="127"/>
      <c r="F6" s="9" t="s">
        <v>30</v>
      </c>
      <c r="G6" s="9" t="s">
        <v>31</v>
      </c>
      <c r="H6" s="9" t="s">
        <v>32</v>
      </c>
      <c r="I6" s="9" t="s">
        <v>33</v>
      </c>
      <c r="J6" s="9" t="s">
        <v>34</v>
      </c>
      <c r="K6" s="9" t="s">
        <v>35</v>
      </c>
      <c r="L6" s="9" t="s">
        <v>36</v>
      </c>
      <c r="M6" s="9" t="s">
        <v>37</v>
      </c>
      <c r="N6" s="9" t="s">
        <v>38</v>
      </c>
      <c r="O6" s="9" t="s">
        <v>39</v>
      </c>
      <c r="P6" s="9" t="s">
        <v>40</v>
      </c>
      <c r="Q6" s="9" t="s">
        <v>41</v>
      </c>
      <c r="R6" s="11" t="s">
        <v>0</v>
      </c>
    </row>
    <row r="7" spans="1:18" ht="10.5" customHeight="1" thickBot="1" x14ac:dyDescent="0.25">
      <c r="A7" s="124"/>
      <c r="B7" s="125"/>
      <c r="C7" s="125"/>
      <c r="D7" s="126"/>
      <c r="E7" s="12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1"/>
    </row>
    <row r="8" spans="1:18" ht="6.75" customHeight="1" thickBot="1" x14ac:dyDescent="0.25">
      <c r="A8" s="39"/>
      <c r="B8" s="12"/>
      <c r="C8" s="12"/>
      <c r="D8" s="12"/>
      <c r="E8" s="14"/>
      <c r="F8" s="40"/>
      <c r="G8" s="40"/>
      <c r="H8" s="40"/>
      <c r="I8" s="40"/>
      <c r="J8" s="40"/>
      <c r="K8" s="40"/>
      <c r="L8" s="40"/>
      <c r="M8" s="40"/>
      <c r="N8" s="41"/>
      <c r="O8" s="19"/>
      <c r="P8" s="19"/>
      <c r="Q8" s="41"/>
      <c r="R8" s="13"/>
    </row>
    <row r="9" spans="1:18" ht="16.5" customHeight="1" thickBot="1" x14ac:dyDescent="0.4">
      <c r="A9" s="42" t="s">
        <v>60</v>
      </c>
      <c r="B9" s="43"/>
      <c r="C9" s="43"/>
      <c r="D9" s="43"/>
      <c r="E9" s="44"/>
      <c r="F9" s="45">
        <f t="shared" ref="F9:L9" si="0">+F10+F39+F42</f>
        <v>35019376.429999992</v>
      </c>
      <c r="G9" s="45">
        <f t="shared" si="0"/>
        <v>33134772.29000001</v>
      </c>
      <c r="H9" s="45">
        <f t="shared" si="0"/>
        <v>36991398.370000005</v>
      </c>
      <c r="I9" s="45">
        <f t="shared" si="0"/>
        <v>41291934.669999987</v>
      </c>
      <c r="J9" s="45">
        <f>+J10+J39+J42</f>
        <v>35413820.900000013</v>
      </c>
      <c r="K9" s="45">
        <f t="shared" si="0"/>
        <v>36839015.860000007</v>
      </c>
      <c r="L9" s="45">
        <f t="shared" si="0"/>
        <v>37348922.219999999</v>
      </c>
      <c r="M9" s="45">
        <f>+M10+M39+M42</f>
        <v>37242145.340000011</v>
      </c>
      <c r="N9" s="45">
        <f t="shared" ref="N9:Q9" si="1">+N10+N39+N42</f>
        <v>34980911.330000006</v>
      </c>
      <c r="O9" s="45">
        <f>+O10+O39+O42</f>
        <v>36570294.410000004</v>
      </c>
      <c r="P9" s="45">
        <f>+P10+P39+P42</f>
        <v>41401842.470000006</v>
      </c>
      <c r="Q9" s="45">
        <f t="shared" si="1"/>
        <v>57116495.45000001</v>
      </c>
      <c r="R9" s="46">
        <f>SUM(F9:Q9)</f>
        <v>463350929.74000007</v>
      </c>
    </row>
    <row r="10" spans="1:18" ht="16.5" customHeight="1" x14ac:dyDescent="0.35">
      <c r="A10" s="47" t="s">
        <v>61</v>
      </c>
      <c r="B10" s="48"/>
      <c r="C10" s="48"/>
      <c r="D10" s="48"/>
      <c r="E10" s="49"/>
      <c r="F10" s="50">
        <f t="shared" ref="F10:L10" si="2">+SUM(F11:F38)-F13-F14-F21-F23-F24-F25</f>
        <v>35019098.569999993</v>
      </c>
      <c r="G10" s="50">
        <f t="shared" si="2"/>
        <v>33119797.45000001</v>
      </c>
      <c r="H10" s="50">
        <f t="shared" si="2"/>
        <v>36989201.010000005</v>
      </c>
      <c r="I10" s="50">
        <f t="shared" si="2"/>
        <v>41290982.599999987</v>
      </c>
      <c r="J10" s="50">
        <f t="shared" si="2"/>
        <v>35410623.440000013</v>
      </c>
      <c r="K10" s="50">
        <f t="shared" si="2"/>
        <v>36839015.860000007</v>
      </c>
      <c r="L10" s="50">
        <f t="shared" si="2"/>
        <v>37348922.219999999</v>
      </c>
      <c r="M10" s="50">
        <f>+SUM(M11:M38)-M13-M14-M21-M23-M24-M25</f>
        <v>37242145.340000011</v>
      </c>
      <c r="N10" s="50">
        <f t="shared" ref="N10:Q10" si="3">+SUM(N11:N38)-N13-N14-N21-N23-N24-N25</f>
        <v>34980911.330000006</v>
      </c>
      <c r="O10" s="50">
        <f t="shared" si="3"/>
        <v>36570294.410000004</v>
      </c>
      <c r="P10" s="50">
        <f>+SUM(P11:P38)-P13-P14-P21-P23-P24-P25</f>
        <v>41401842.470000006</v>
      </c>
      <c r="Q10" s="50">
        <f t="shared" si="3"/>
        <v>57113379.080000013</v>
      </c>
      <c r="R10" s="22">
        <f t="shared" ref="R10:R82" si="4">SUM(F10:Q10)</f>
        <v>463326213.78000009</v>
      </c>
    </row>
    <row r="11" spans="1:18" ht="13.5" customHeight="1" x14ac:dyDescent="0.25">
      <c r="A11" s="51"/>
      <c r="B11" s="52" t="s">
        <v>62</v>
      </c>
      <c r="C11" s="4" t="s">
        <v>2</v>
      </c>
      <c r="D11" s="4"/>
      <c r="E11" s="15">
        <v>501</v>
      </c>
      <c r="F11" s="54">
        <v>4598593.29</v>
      </c>
      <c r="G11" s="54">
        <v>4712492.7</v>
      </c>
      <c r="H11" s="54">
        <v>5137774.67</v>
      </c>
      <c r="I11" s="54">
        <v>4618532.28</v>
      </c>
      <c r="J11" s="54">
        <v>5070899.75</v>
      </c>
      <c r="K11" s="54">
        <v>5107758.54</v>
      </c>
      <c r="L11" s="54">
        <v>4918423.67</v>
      </c>
      <c r="M11" s="54">
        <v>5219970.63</v>
      </c>
      <c r="N11" s="54">
        <v>4622273.07</v>
      </c>
      <c r="O11" s="54">
        <v>5805964.5499999998</v>
      </c>
      <c r="P11" s="54">
        <v>6894587.7300000004</v>
      </c>
      <c r="Q11" s="54">
        <v>9957010.1799999997</v>
      </c>
      <c r="R11" s="53">
        <f t="shared" si="4"/>
        <v>66664281.059999995</v>
      </c>
    </row>
    <row r="12" spans="1:18" ht="13.5" x14ac:dyDescent="0.25">
      <c r="A12" s="55"/>
      <c r="B12" s="56" t="s">
        <v>63</v>
      </c>
      <c r="C12" s="3" t="s">
        <v>64</v>
      </c>
      <c r="D12" s="3"/>
      <c r="E12" s="16">
        <v>502</v>
      </c>
      <c r="F12" s="57">
        <v>2065517.18</v>
      </c>
      <c r="G12" s="57">
        <v>1797451.39</v>
      </c>
      <c r="H12" s="57">
        <v>1511569.41</v>
      </c>
      <c r="I12" s="57">
        <v>1256414.3600000001</v>
      </c>
      <c r="J12" s="57">
        <v>947191.62</v>
      </c>
      <c r="K12" s="57">
        <v>874201.45</v>
      </c>
      <c r="L12" s="57">
        <v>755699.67</v>
      </c>
      <c r="M12" s="57">
        <v>835342.57</v>
      </c>
      <c r="N12" s="57">
        <v>867724.04</v>
      </c>
      <c r="O12" s="57">
        <v>1167262.19</v>
      </c>
      <c r="P12" s="57">
        <v>1482652.67</v>
      </c>
      <c r="Q12" s="57">
        <v>1947966.91</v>
      </c>
      <c r="R12" s="58">
        <f t="shared" si="4"/>
        <v>15508993.460000001</v>
      </c>
    </row>
    <row r="13" spans="1:18" ht="13.5" x14ac:dyDescent="0.25">
      <c r="A13" s="55"/>
      <c r="B13" s="56"/>
      <c r="C13" s="59" t="s">
        <v>65</v>
      </c>
      <c r="D13" s="60" t="s">
        <v>66</v>
      </c>
      <c r="E13" s="16"/>
      <c r="F13" s="57">
        <f>598784.76+2922.47</f>
        <v>601707.23</v>
      </c>
      <c r="G13" s="57">
        <f>544279.68-6133.14</f>
        <v>538146.54</v>
      </c>
      <c r="H13" s="57">
        <f>430755.81+50000.3</f>
        <v>480756.11</v>
      </c>
      <c r="I13" s="57">
        <f>403800.04+2696.52</f>
        <v>406496.56</v>
      </c>
      <c r="J13" s="57">
        <f>373713.64+2077.59</f>
        <v>375791.23000000004</v>
      </c>
      <c r="K13" s="57">
        <f>342935.67+43657.2</f>
        <v>386592.87</v>
      </c>
      <c r="L13" s="57">
        <f>362575.11+2165.03</f>
        <v>364740.14</v>
      </c>
      <c r="M13" s="57">
        <f>399848.6+2270.62</f>
        <v>402119.22</v>
      </c>
      <c r="N13" s="57">
        <f>368121.06+45857.54</f>
        <v>413978.6</v>
      </c>
      <c r="O13" s="57">
        <f>445794.28+2414.45</f>
        <v>448208.73000000004</v>
      </c>
      <c r="P13" s="57">
        <f>457177.44+2601.93</f>
        <v>459779.37</v>
      </c>
      <c r="Q13" s="57">
        <f>493674.67+262632.92</f>
        <v>756307.59</v>
      </c>
      <c r="R13" s="58">
        <f t="shared" si="4"/>
        <v>5634624.1900000004</v>
      </c>
    </row>
    <row r="14" spans="1:18" ht="13.5" x14ac:dyDescent="0.25">
      <c r="A14" s="55"/>
      <c r="B14" s="56"/>
      <c r="C14" s="59"/>
      <c r="D14" s="60" t="s">
        <v>67</v>
      </c>
      <c r="E14" s="16"/>
      <c r="F14" s="57">
        <f>59662.97+1360183.04</f>
        <v>1419846.01</v>
      </c>
      <c r="G14" s="57">
        <f>53230.1+1162883.84</f>
        <v>1216113.9400000002</v>
      </c>
      <c r="H14" s="57">
        <f>82940.93+896854.9</f>
        <v>979795.83000000007</v>
      </c>
      <c r="I14" s="57">
        <f>35024.95+793741.9</f>
        <v>828766.85</v>
      </c>
      <c r="J14" s="57">
        <f>505828.59+16003.69</f>
        <v>521832.28</v>
      </c>
      <c r="K14" s="57">
        <f>49450.87+340011.88</f>
        <v>389462.75</v>
      </c>
      <c r="L14" s="57">
        <f>9294.31+333836.35</f>
        <v>343130.66</v>
      </c>
      <c r="M14" s="57">
        <f>9651.22+375743.26</f>
        <v>385394.48</v>
      </c>
      <c r="N14" s="57">
        <f>49791.57+353129.64</f>
        <v>402921.21</v>
      </c>
      <c r="O14" s="101">
        <f>644603.88+24301.73</f>
        <v>668905.61</v>
      </c>
      <c r="P14" s="57">
        <f>44649.67+927399.39</f>
        <v>972049.06</v>
      </c>
      <c r="Q14" s="101">
        <f>88521.72+872133.24</f>
        <v>960654.96</v>
      </c>
      <c r="R14" s="58">
        <f t="shared" si="4"/>
        <v>9088873.6400000006</v>
      </c>
    </row>
    <row r="15" spans="1:18" ht="13.5" x14ac:dyDescent="0.25">
      <c r="A15" s="55"/>
      <c r="B15" s="56" t="s">
        <v>68</v>
      </c>
      <c r="C15" s="102" t="s">
        <v>134</v>
      </c>
      <c r="D15" s="3"/>
      <c r="E15" s="16" t="s">
        <v>133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-121184.38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101">
        <v>-34885.57</v>
      </c>
      <c r="R15" s="58">
        <f t="shared" si="4"/>
        <v>-156069.95000000001</v>
      </c>
    </row>
    <row r="16" spans="1:18" ht="13.5" x14ac:dyDescent="0.25">
      <c r="A16" s="55"/>
      <c r="B16" s="56" t="s">
        <v>69</v>
      </c>
      <c r="C16" s="3" t="s">
        <v>3</v>
      </c>
      <c r="D16" s="3"/>
      <c r="E16" s="16">
        <v>504</v>
      </c>
      <c r="F16" s="57">
        <v>46996.37</v>
      </c>
      <c r="G16" s="57">
        <v>45028.04</v>
      </c>
      <c r="H16" s="57">
        <v>58986.35</v>
      </c>
      <c r="I16" s="57">
        <v>50451.19</v>
      </c>
      <c r="J16" s="57">
        <v>58864</v>
      </c>
      <c r="K16" s="57">
        <v>51223.22</v>
      </c>
      <c r="L16" s="57">
        <v>48271.21</v>
      </c>
      <c r="M16" s="57">
        <v>47535.41</v>
      </c>
      <c r="N16" s="57">
        <v>40674.69</v>
      </c>
      <c r="O16" s="57">
        <v>53724.68</v>
      </c>
      <c r="P16" s="57">
        <v>49181.98</v>
      </c>
      <c r="Q16" s="57">
        <v>34882.25</v>
      </c>
      <c r="R16" s="58">
        <f t="shared" si="4"/>
        <v>585819.39</v>
      </c>
    </row>
    <row r="17" spans="1:18" ht="13.5" x14ac:dyDescent="0.25">
      <c r="A17" s="55"/>
      <c r="B17" s="56" t="s">
        <v>70</v>
      </c>
      <c r="C17" s="3" t="s">
        <v>4</v>
      </c>
      <c r="D17" s="3"/>
      <c r="E17" s="16">
        <v>511</v>
      </c>
      <c r="F17" s="57">
        <v>98642.16</v>
      </c>
      <c r="G17" s="57">
        <v>154053.15</v>
      </c>
      <c r="H17" s="57">
        <v>1720589.1</v>
      </c>
      <c r="I17" s="57">
        <v>3101692.47</v>
      </c>
      <c r="J17" s="57">
        <v>626995.59</v>
      </c>
      <c r="K17" s="57">
        <v>424242.03</v>
      </c>
      <c r="L17" s="57">
        <v>891350.19</v>
      </c>
      <c r="M17" s="57">
        <v>1437480.31</v>
      </c>
      <c r="N17" s="57">
        <v>946687.26</v>
      </c>
      <c r="O17" s="57">
        <v>751405.32</v>
      </c>
      <c r="P17" s="57">
        <v>299267.34000000003</v>
      </c>
      <c r="Q17" s="57">
        <v>1756528.81</v>
      </c>
      <c r="R17" s="58">
        <f t="shared" si="4"/>
        <v>12208933.730000002</v>
      </c>
    </row>
    <row r="18" spans="1:18" ht="13.5" customHeight="1" x14ac:dyDescent="0.25">
      <c r="A18" s="55"/>
      <c r="B18" s="56" t="s">
        <v>72</v>
      </c>
      <c r="C18" s="3" t="s">
        <v>5</v>
      </c>
      <c r="D18" s="3"/>
      <c r="E18" s="16">
        <v>512</v>
      </c>
      <c r="F18" s="57">
        <v>0</v>
      </c>
      <c r="G18" s="57">
        <v>21032</v>
      </c>
      <c r="H18" s="57">
        <v>67352</v>
      </c>
      <c r="I18" s="57">
        <v>11960</v>
      </c>
      <c r="J18" s="57">
        <v>28242</v>
      </c>
      <c r="K18" s="57">
        <v>38893</v>
      </c>
      <c r="L18" s="57">
        <v>12068</v>
      </c>
      <c r="M18" s="57">
        <v>8102</v>
      </c>
      <c r="N18" s="57">
        <v>14908</v>
      </c>
      <c r="O18" s="57">
        <v>19111</v>
      </c>
      <c r="P18" s="57">
        <v>26277</v>
      </c>
      <c r="Q18" s="57">
        <v>31515</v>
      </c>
      <c r="R18" s="58">
        <f t="shared" si="4"/>
        <v>279460</v>
      </c>
    </row>
    <row r="19" spans="1:18" ht="13.5" x14ac:dyDescent="0.25">
      <c r="A19" s="55"/>
      <c r="B19" s="56" t="s">
        <v>8</v>
      </c>
      <c r="C19" s="3" t="s">
        <v>6</v>
      </c>
      <c r="D19" s="3"/>
      <c r="E19" s="16">
        <v>513</v>
      </c>
      <c r="F19" s="57">
        <v>1464.1</v>
      </c>
      <c r="G19" s="57">
        <v>2414</v>
      </c>
      <c r="H19" s="57">
        <v>2676</v>
      </c>
      <c r="I19" s="57">
        <v>12267</v>
      </c>
      <c r="J19" s="57">
        <v>1465.99</v>
      </c>
      <c r="K19" s="57">
        <v>5201</v>
      </c>
      <c r="L19" s="57">
        <v>496</v>
      </c>
      <c r="M19" s="57">
        <v>3705</v>
      </c>
      <c r="N19" s="57">
        <v>1199</v>
      </c>
      <c r="O19" s="57">
        <v>4733.8</v>
      </c>
      <c r="P19" s="57">
        <v>10308</v>
      </c>
      <c r="Q19" s="57">
        <v>16432.8</v>
      </c>
      <c r="R19" s="58">
        <f t="shared" si="4"/>
        <v>62362.69</v>
      </c>
    </row>
    <row r="20" spans="1:18" ht="13.5" x14ac:dyDescent="0.25">
      <c r="A20" s="55"/>
      <c r="B20" s="56" t="s">
        <v>10</v>
      </c>
      <c r="C20" s="3" t="s">
        <v>7</v>
      </c>
      <c r="D20" s="3"/>
      <c r="E20" s="16">
        <v>518</v>
      </c>
      <c r="F20" s="57">
        <v>1482390.82</v>
      </c>
      <c r="G20" s="57">
        <v>494582.38</v>
      </c>
      <c r="H20" s="57">
        <v>838163.34</v>
      </c>
      <c r="I20" s="57">
        <v>655356.65</v>
      </c>
      <c r="J20" s="57">
        <v>924457.93</v>
      </c>
      <c r="K20" s="57">
        <v>773872.63</v>
      </c>
      <c r="L20" s="57">
        <v>1056876.18</v>
      </c>
      <c r="M20" s="57">
        <v>721272.59</v>
      </c>
      <c r="N20" s="57">
        <v>777430.67</v>
      </c>
      <c r="O20" s="57">
        <v>1344921.53</v>
      </c>
      <c r="P20" s="57">
        <v>782868.64</v>
      </c>
      <c r="Q20" s="57">
        <f>2844027.96+0.05</f>
        <v>2844028.01</v>
      </c>
      <c r="R20" s="58">
        <f t="shared" si="4"/>
        <v>12696221.369999999</v>
      </c>
    </row>
    <row r="21" spans="1:18" ht="13.5" x14ac:dyDescent="0.25">
      <c r="A21" s="55"/>
      <c r="B21" s="56"/>
      <c r="C21" s="59" t="s">
        <v>65</v>
      </c>
      <c r="D21" s="60" t="s">
        <v>74</v>
      </c>
      <c r="E21" s="16"/>
      <c r="F21" s="57">
        <v>5486.81</v>
      </c>
      <c r="G21" s="57">
        <v>5281.9</v>
      </c>
      <c r="H21" s="57">
        <f>5478.81+30.97</f>
        <v>5509.7800000000007</v>
      </c>
      <c r="I21" s="57">
        <f>5763.09</f>
        <v>5763.09</v>
      </c>
      <c r="J21" s="57">
        <v>5981.25</v>
      </c>
      <c r="K21" s="57">
        <f>5949.14+63.43</f>
        <v>6012.5700000000006</v>
      </c>
      <c r="L21" s="57">
        <v>6592.27</v>
      </c>
      <c r="M21" s="57">
        <f>6140.83</f>
        <v>6140.83</v>
      </c>
      <c r="N21" s="57">
        <f>6012.07+29.98</f>
        <v>6042.0499999999993</v>
      </c>
      <c r="O21" s="57">
        <v>6102.56</v>
      </c>
      <c r="P21" s="57">
        <v>6120.74</v>
      </c>
      <c r="Q21" s="57">
        <f>6060.46+67.43</f>
        <v>6127.89</v>
      </c>
      <c r="R21" s="58">
        <f t="shared" si="4"/>
        <v>71161.740000000005</v>
      </c>
    </row>
    <row r="22" spans="1:18" ht="13.5" x14ac:dyDescent="0.25">
      <c r="A22" s="55"/>
      <c r="B22" s="56" t="s">
        <v>11</v>
      </c>
      <c r="C22" s="3" t="s">
        <v>9</v>
      </c>
      <c r="D22" s="3"/>
      <c r="E22" s="16">
        <v>521</v>
      </c>
      <c r="F22" s="57">
        <f t="shared" ref="F22:L22" si="5">+F23+F24+F25</f>
        <v>18384544</v>
      </c>
      <c r="G22" s="57">
        <f t="shared" si="5"/>
        <v>17848130</v>
      </c>
      <c r="H22" s="57">
        <f t="shared" si="5"/>
        <v>18252362</v>
      </c>
      <c r="I22" s="57">
        <f t="shared" si="5"/>
        <v>22041161</v>
      </c>
      <c r="J22" s="57">
        <f t="shared" si="5"/>
        <v>19112910</v>
      </c>
      <c r="K22" s="57">
        <f t="shared" si="5"/>
        <v>20480527</v>
      </c>
      <c r="L22" s="57">
        <f t="shared" si="5"/>
        <v>20625787</v>
      </c>
      <c r="M22" s="57">
        <f>+M23+M24+M25</f>
        <v>19962851</v>
      </c>
      <c r="N22" s="57">
        <f t="shared" ref="N22:Q22" si="6">+N23+N24+N25</f>
        <v>19040064</v>
      </c>
      <c r="O22" s="57">
        <f t="shared" si="6"/>
        <v>18577392</v>
      </c>
      <c r="P22" s="57">
        <f>+P23+P24+P25</f>
        <v>21487780</v>
      </c>
      <c r="Q22" s="57">
        <f t="shared" si="6"/>
        <v>24905138</v>
      </c>
      <c r="R22" s="58">
        <f t="shared" si="4"/>
        <v>240718646</v>
      </c>
    </row>
    <row r="23" spans="1:18" ht="13.5" x14ac:dyDescent="0.25">
      <c r="A23" s="55"/>
      <c r="B23" s="62"/>
      <c r="C23" s="59" t="s">
        <v>65</v>
      </c>
      <c r="D23" s="59" t="s">
        <v>75</v>
      </c>
      <c r="E23" s="16"/>
      <c r="F23" s="57">
        <v>17866852</v>
      </c>
      <c r="G23" s="57">
        <v>17346076</v>
      </c>
      <c r="H23" s="57">
        <f>230075.11+17507929.89</f>
        <v>17738005</v>
      </c>
      <c r="I23" s="57">
        <v>21526613</v>
      </c>
      <c r="J23" s="57">
        <v>18565336</v>
      </c>
      <c r="K23" s="57">
        <f>302909.68+19648341.32</f>
        <v>19951251</v>
      </c>
      <c r="L23" s="57">
        <v>19737431</v>
      </c>
      <c r="M23" s="57">
        <v>19151581</v>
      </c>
      <c r="N23" s="57">
        <f>18223781.16+300530.84</f>
        <v>18524312</v>
      </c>
      <c r="O23" s="57">
        <v>17919840</v>
      </c>
      <c r="P23" s="101">
        <v>20753627</v>
      </c>
      <c r="Q23" s="57">
        <f>323225.4+23937593.6</f>
        <v>24260819</v>
      </c>
      <c r="R23" s="58">
        <f t="shared" si="4"/>
        <v>233341743</v>
      </c>
    </row>
    <row r="24" spans="1:18" ht="13.5" x14ac:dyDescent="0.25">
      <c r="A24" s="55"/>
      <c r="B24" s="62"/>
      <c r="C24" s="59"/>
      <c r="D24" s="59" t="s">
        <v>76</v>
      </c>
      <c r="E24" s="16"/>
      <c r="F24" s="57">
        <v>364213</v>
      </c>
      <c r="G24" s="57">
        <v>364055</v>
      </c>
      <c r="H24" s="57">
        <f>18102.9+360631.1</f>
        <v>378734</v>
      </c>
      <c r="I24" s="57">
        <v>430893</v>
      </c>
      <c r="J24" s="101">
        <v>475590</v>
      </c>
      <c r="K24" s="57">
        <f>27824.23+426691.77</f>
        <v>454516</v>
      </c>
      <c r="L24" s="57">
        <v>808840</v>
      </c>
      <c r="M24" s="57">
        <v>754089</v>
      </c>
      <c r="N24" s="57">
        <f>24941.08+360197.92</f>
        <v>385139</v>
      </c>
      <c r="O24" s="57">
        <v>459145</v>
      </c>
      <c r="P24" s="57">
        <v>545966</v>
      </c>
      <c r="Q24" s="57">
        <f>521160.98+28774.02</f>
        <v>549935</v>
      </c>
      <c r="R24" s="58">
        <f t="shared" si="4"/>
        <v>5971115</v>
      </c>
    </row>
    <row r="25" spans="1:18" ht="13.5" x14ac:dyDescent="0.25">
      <c r="A25" s="55"/>
      <c r="B25" s="62"/>
      <c r="C25" s="59"/>
      <c r="D25" s="59" t="s">
        <v>77</v>
      </c>
      <c r="E25" s="16"/>
      <c r="F25" s="57">
        <v>153479</v>
      </c>
      <c r="G25" s="57">
        <v>137999</v>
      </c>
      <c r="H25" s="57">
        <f>1744.24+133878.76</f>
        <v>135623</v>
      </c>
      <c r="I25" s="57">
        <v>83655</v>
      </c>
      <c r="J25" s="57">
        <v>71984</v>
      </c>
      <c r="K25" s="57">
        <f>73648.88+1111.12</f>
        <v>74760</v>
      </c>
      <c r="L25" s="57">
        <v>79516</v>
      </c>
      <c r="M25" s="57">
        <v>57181</v>
      </c>
      <c r="N25" s="101">
        <f>1010.79+129602.21</f>
        <v>130613</v>
      </c>
      <c r="O25" s="57">
        <v>198407</v>
      </c>
      <c r="P25" s="57">
        <v>188187</v>
      </c>
      <c r="Q25" s="57">
        <f>2623.06+91760.94</f>
        <v>94384</v>
      </c>
      <c r="R25" s="58">
        <f t="shared" si="4"/>
        <v>1405788</v>
      </c>
    </row>
    <row r="26" spans="1:18" ht="13.5" customHeight="1" x14ac:dyDescent="0.25">
      <c r="A26" s="55"/>
      <c r="B26" s="56" t="s">
        <v>13</v>
      </c>
      <c r="C26" s="3" t="s">
        <v>12</v>
      </c>
      <c r="D26" s="3"/>
      <c r="E26" s="16">
        <v>524</v>
      </c>
      <c r="F26" s="57">
        <v>6131836</v>
      </c>
      <c r="G26" s="57">
        <v>5923961</v>
      </c>
      <c r="H26" s="57">
        <v>6061867</v>
      </c>
      <c r="I26" s="57">
        <v>7353495</v>
      </c>
      <c r="J26" s="57">
        <v>6367101</v>
      </c>
      <c r="K26" s="57">
        <v>6829962</v>
      </c>
      <c r="L26" s="57">
        <v>6880882</v>
      </c>
      <c r="M26" s="57">
        <v>6661171</v>
      </c>
      <c r="N26" s="101">
        <v>6339527</v>
      </c>
      <c r="O26" s="57">
        <v>6163372</v>
      </c>
      <c r="P26" s="57">
        <v>7114149</v>
      </c>
      <c r="Q26" s="57">
        <v>8150446</v>
      </c>
      <c r="R26" s="58">
        <f t="shared" si="4"/>
        <v>79977769</v>
      </c>
    </row>
    <row r="27" spans="1:18" ht="13.5" x14ac:dyDescent="0.25">
      <c r="A27" s="55"/>
      <c r="B27" s="56" t="s">
        <v>14</v>
      </c>
      <c r="C27" s="3" t="s">
        <v>50</v>
      </c>
      <c r="D27" s="3"/>
      <c r="E27" s="16">
        <v>525</v>
      </c>
      <c r="F27" s="57">
        <v>76194.3</v>
      </c>
      <c r="G27" s="57">
        <v>73962.39</v>
      </c>
      <c r="H27" s="57">
        <v>75673.31</v>
      </c>
      <c r="I27" s="57">
        <v>91740.3</v>
      </c>
      <c r="J27" s="57">
        <v>79511.350000000006</v>
      </c>
      <c r="K27" s="57">
        <v>85255.35</v>
      </c>
      <c r="L27" s="57">
        <v>85838.8</v>
      </c>
      <c r="M27" s="57">
        <v>83042.179999999993</v>
      </c>
      <c r="N27" s="57">
        <v>79073.02</v>
      </c>
      <c r="O27" s="57">
        <v>76806.899999999994</v>
      </c>
      <c r="P27" s="57">
        <v>89193.88</v>
      </c>
      <c r="Q27" s="57">
        <v>103939.22</v>
      </c>
      <c r="R27" s="58">
        <f t="shared" si="4"/>
        <v>1000231</v>
      </c>
    </row>
    <row r="28" spans="1:18" ht="13.5" x14ac:dyDescent="0.25">
      <c r="A28" s="55"/>
      <c r="B28" s="56" t="s">
        <v>15</v>
      </c>
      <c r="C28" s="3" t="s">
        <v>54</v>
      </c>
      <c r="D28" s="3"/>
      <c r="E28" s="16">
        <v>527</v>
      </c>
      <c r="F28" s="57">
        <v>841701.47</v>
      </c>
      <c r="G28" s="57">
        <v>727448.34</v>
      </c>
      <c r="H28" s="57">
        <v>1961180.38</v>
      </c>
      <c r="I28" s="57">
        <v>784119.71</v>
      </c>
      <c r="J28" s="57">
        <v>796677.6</v>
      </c>
      <c r="K28" s="57">
        <v>777313.65</v>
      </c>
      <c r="L28" s="101">
        <v>689293.85</v>
      </c>
      <c r="M28" s="57">
        <v>720633.53</v>
      </c>
      <c r="N28" s="57">
        <v>735925.39</v>
      </c>
      <c r="O28" s="57">
        <v>810634.43</v>
      </c>
      <c r="P28" s="57">
        <v>819003.01</v>
      </c>
      <c r="Q28" s="57">
        <v>1145624.3400000001</v>
      </c>
      <c r="R28" s="58">
        <f t="shared" si="4"/>
        <v>10809555.699999999</v>
      </c>
    </row>
    <row r="29" spans="1:18" ht="13.5" x14ac:dyDescent="0.25">
      <c r="A29" s="55"/>
      <c r="B29" s="56" t="s">
        <v>16</v>
      </c>
      <c r="C29" s="3" t="s">
        <v>55</v>
      </c>
      <c r="D29" s="3"/>
      <c r="E29" s="16">
        <v>528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8">
        <f t="shared" si="4"/>
        <v>0</v>
      </c>
    </row>
    <row r="30" spans="1:18" ht="13.5" x14ac:dyDescent="0.25">
      <c r="A30" s="55"/>
      <c r="B30" s="56" t="s">
        <v>78</v>
      </c>
      <c r="C30" s="3" t="s">
        <v>79</v>
      </c>
      <c r="D30" s="3"/>
      <c r="E30" s="16" t="s">
        <v>28</v>
      </c>
      <c r="F30" s="57">
        <v>14687.51</v>
      </c>
      <c r="G30" s="57">
        <v>3500</v>
      </c>
      <c r="H30" s="57">
        <v>3848</v>
      </c>
      <c r="I30" s="57">
        <v>3820</v>
      </c>
      <c r="J30" s="57">
        <v>11416</v>
      </c>
      <c r="K30" s="57">
        <v>3760</v>
      </c>
      <c r="L30" s="57">
        <v>7535</v>
      </c>
      <c r="M30" s="57">
        <v>3540</v>
      </c>
      <c r="N30" s="57">
        <v>5364</v>
      </c>
      <c r="O30" s="57">
        <v>7209</v>
      </c>
      <c r="P30" s="57">
        <v>4100</v>
      </c>
      <c r="Q30" s="57">
        <v>127880</v>
      </c>
      <c r="R30" s="58">
        <f t="shared" si="4"/>
        <v>196659.51</v>
      </c>
    </row>
    <row r="31" spans="1:18" ht="13.5" x14ac:dyDescent="0.25">
      <c r="A31" s="55"/>
      <c r="B31" s="56" t="s">
        <v>17</v>
      </c>
      <c r="C31" s="3" t="s">
        <v>51</v>
      </c>
      <c r="D31" s="3"/>
      <c r="E31" s="16">
        <v>544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121184.38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63">
        <v>0</v>
      </c>
      <c r="R31" s="64">
        <f t="shared" si="4"/>
        <v>121184.38</v>
      </c>
    </row>
    <row r="32" spans="1:18" ht="13.5" x14ac:dyDescent="0.25">
      <c r="A32" s="55"/>
      <c r="B32" s="56" t="s">
        <v>18</v>
      </c>
      <c r="C32" s="3" t="s">
        <v>26</v>
      </c>
      <c r="D32" s="3"/>
      <c r="E32" s="16" t="s">
        <v>110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2727</v>
      </c>
      <c r="O32" s="57">
        <v>0</v>
      </c>
      <c r="P32" s="57">
        <v>0</v>
      </c>
      <c r="Q32" s="63">
        <v>0</v>
      </c>
      <c r="R32" s="64">
        <f t="shared" si="4"/>
        <v>2727</v>
      </c>
    </row>
    <row r="33" spans="1:18" ht="13.5" x14ac:dyDescent="0.25">
      <c r="A33" s="55"/>
      <c r="B33" s="56" t="s">
        <v>19</v>
      </c>
      <c r="C33" s="3" t="s">
        <v>80</v>
      </c>
      <c r="D33" s="3"/>
      <c r="E33" s="16">
        <v>548</v>
      </c>
      <c r="F33" s="57">
        <v>0</v>
      </c>
      <c r="G33" s="57">
        <v>0</v>
      </c>
      <c r="H33" s="57">
        <v>0</v>
      </c>
      <c r="I33" s="57">
        <v>0</v>
      </c>
      <c r="J33" s="57">
        <v>33049.589999999997</v>
      </c>
      <c r="K33" s="57">
        <v>0</v>
      </c>
      <c r="L33" s="57">
        <v>0</v>
      </c>
      <c r="M33" s="113">
        <v>0</v>
      </c>
      <c r="N33" s="57">
        <v>0</v>
      </c>
      <c r="O33" s="57">
        <v>0</v>
      </c>
      <c r="P33" s="57">
        <v>0</v>
      </c>
      <c r="Q33" s="63">
        <v>0</v>
      </c>
      <c r="R33" s="64">
        <f t="shared" si="4"/>
        <v>33049.589999999997</v>
      </c>
    </row>
    <row r="34" spans="1:18" ht="13.5" x14ac:dyDescent="0.25">
      <c r="A34" s="55"/>
      <c r="B34" s="56" t="s">
        <v>25</v>
      </c>
      <c r="C34" s="3" t="s">
        <v>52</v>
      </c>
      <c r="D34" s="3"/>
      <c r="E34" s="16">
        <v>549</v>
      </c>
      <c r="F34" s="57">
        <v>3537.72</v>
      </c>
      <c r="G34" s="57">
        <v>7.99</v>
      </c>
      <c r="H34" s="57">
        <v>7.3</v>
      </c>
      <c r="I34" s="57">
        <v>4.66</v>
      </c>
      <c r="J34" s="57">
        <v>11002.84</v>
      </c>
      <c r="K34" s="57">
        <v>6883.22</v>
      </c>
      <c r="L34" s="57">
        <v>4.59</v>
      </c>
      <c r="M34" s="57">
        <v>11.17</v>
      </c>
      <c r="N34" s="57">
        <v>5.72</v>
      </c>
      <c r="O34" s="57">
        <v>20267.34</v>
      </c>
      <c r="P34" s="57">
        <v>15170.38</v>
      </c>
      <c r="Q34" s="57">
        <v>11.14</v>
      </c>
      <c r="R34" s="64">
        <f t="shared" si="4"/>
        <v>56914.07</v>
      </c>
    </row>
    <row r="35" spans="1:18" ht="13.5" x14ac:dyDescent="0.25">
      <c r="A35" s="65"/>
      <c r="B35" s="56" t="s">
        <v>20</v>
      </c>
      <c r="C35" s="3" t="s">
        <v>53</v>
      </c>
      <c r="D35" s="3"/>
      <c r="E35" s="16">
        <v>551</v>
      </c>
      <c r="F35" s="57">
        <v>1255695</v>
      </c>
      <c r="G35" s="57">
        <v>1255677</v>
      </c>
      <c r="H35" s="57">
        <v>1255677</v>
      </c>
      <c r="I35" s="57">
        <v>1255677</v>
      </c>
      <c r="J35" s="57">
        <v>1262791</v>
      </c>
      <c r="K35" s="57">
        <v>1255447</v>
      </c>
      <c r="L35" s="57">
        <v>1290376</v>
      </c>
      <c r="M35" s="57">
        <v>1302853</v>
      </c>
      <c r="N35" s="57">
        <v>1314207</v>
      </c>
      <c r="O35" s="57">
        <v>1314207</v>
      </c>
      <c r="P35" s="57">
        <v>1317204</v>
      </c>
      <c r="Q35" s="57">
        <v>1350523</v>
      </c>
      <c r="R35" s="64">
        <f t="shared" si="4"/>
        <v>15430334</v>
      </c>
    </row>
    <row r="36" spans="1:18" ht="13.5" x14ac:dyDescent="0.25">
      <c r="A36" s="65"/>
      <c r="B36" s="56" t="s">
        <v>23</v>
      </c>
      <c r="C36" s="61" t="s">
        <v>81</v>
      </c>
      <c r="D36" s="3"/>
      <c r="E36" s="16">
        <v>557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v>34642.47</v>
      </c>
      <c r="R36" s="64">
        <f t="shared" si="4"/>
        <v>34642.47</v>
      </c>
    </row>
    <row r="37" spans="1:18" ht="13.5" x14ac:dyDescent="0.25">
      <c r="A37" s="65"/>
      <c r="B37" s="56" t="s">
        <v>24</v>
      </c>
      <c r="C37" s="61" t="s">
        <v>82</v>
      </c>
      <c r="D37" s="3"/>
      <c r="E37" s="16">
        <v>558</v>
      </c>
      <c r="F37" s="101">
        <v>17298.650000000001</v>
      </c>
      <c r="G37" s="101">
        <v>60057.07</v>
      </c>
      <c r="H37" s="57">
        <v>41475.15</v>
      </c>
      <c r="I37" s="57">
        <v>54290.98</v>
      </c>
      <c r="J37" s="57">
        <v>78047.179999999993</v>
      </c>
      <c r="K37" s="57">
        <v>124475.77</v>
      </c>
      <c r="L37" s="57">
        <v>86020.06</v>
      </c>
      <c r="M37" s="57">
        <v>234634.95</v>
      </c>
      <c r="N37" s="57">
        <v>193121.47</v>
      </c>
      <c r="O37" s="57">
        <v>453282.67</v>
      </c>
      <c r="P37" s="57">
        <v>1010098.84</v>
      </c>
      <c r="Q37" s="57">
        <v>4772262.29</v>
      </c>
      <c r="R37" s="64">
        <f t="shared" si="4"/>
        <v>7125065.0800000001</v>
      </c>
    </row>
    <row r="38" spans="1:18" ht="13.5" x14ac:dyDescent="0.25">
      <c r="A38" s="65"/>
      <c r="B38" s="56" t="s">
        <v>25</v>
      </c>
      <c r="C38" s="61" t="s">
        <v>83</v>
      </c>
      <c r="D38" s="66"/>
      <c r="E38" s="67" t="s">
        <v>84</v>
      </c>
      <c r="F38" s="105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f>3230-33795.77</f>
        <v>-30565.769999999997</v>
      </c>
      <c r="R38" s="58">
        <f t="shared" si="4"/>
        <v>-30565.769999999997</v>
      </c>
    </row>
    <row r="39" spans="1:18" ht="13.5" x14ac:dyDescent="0.25">
      <c r="A39" s="69" t="s">
        <v>85</v>
      </c>
      <c r="B39" s="56"/>
      <c r="C39" s="61"/>
      <c r="D39" s="66"/>
      <c r="E39" s="67"/>
      <c r="F39" s="70">
        <f>+F40+F41</f>
        <v>277.86</v>
      </c>
      <c r="G39" s="70">
        <f t="shared" ref="G39:L39" si="7">+G40+G41</f>
        <v>14974.84</v>
      </c>
      <c r="H39" s="70">
        <f t="shared" si="7"/>
        <v>2197.36</v>
      </c>
      <c r="I39" s="70">
        <f t="shared" si="7"/>
        <v>952.07</v>
      </c>
      <c r="J39" s="70">
        <f t="shared" si="7"/>
        <v>3197.46</v>
      </c>
      <c r="K39" s="70">
        <f t="shared" si="7"/>
        <v>0</v>
      </c>
      <c r="L39" s="70">
        <f t="shared" si="7"/>
        <v>0</v>
      </c>
      <c r="M39" s="70">
        <f>+M40+M41</f>
        <v>0</v>
      </c>
      <c r="N39" s="70">
        <f>+N40+N41</f>
        <v>0</v>
      </c>
      <c r="O39" s="70">
        <f>+O40+O41</f>
        <v>0</v>
      </c>
      <c r="P39" s="70">
        <f>+P40+P41</f>
        <v>0</v>
      </c>
      <c r="Q39" s="70">
        <f>+Q40+Q41</f>
        <v>3116.37</v>
      </c>
      <c r="R39" s="23">
        <f t="shared" si="4"/>
        <v>24715.96</v>
      </c>
    </row>
    <row r="40" spans="1:18" ht="13.5" x14ac:dyDescent="0.25">
      <c r="A40" s="65"/>
      <c r="B40" s="56" t="s">
        <v>63</v>
      </c>
      <c r="C40" s="3" t="s">
        <v>86</v>
      </c>
      <c r="D40" s="3"/>
      <c r="E40" s="16">
        <v>562</v>
      </c>
      <c r="F40" s="57">
        <v>277.86</v>
      </c>
      <c r="G40" s="57">
        <v>14974.84</v>
      </c>
      <c r="H40" s="57">
        <v>2197.36</v>
      </c>
      <c r="I40" s="57">
        <v>952.07</v>
      </c>
      <c r="J40" s="57">
        <v>3197.46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v>3116.37</v>
      </c>
      <c r="R40" s="58">
        <f t="shared" si="4"/>
        <v>24715.96</v>
      </c>
    </row>
    <row r="41" spans="1:18" ht="13.5" x14ac:dyDescent="0.25">
      <c r="A41" s="65"/>
      <c r="B41" s="71" t="s">
        <v>71</v>
      </c>
      <c r="C41" s="10" t="s">
        <v>120</v>
      </c>
      <c r="D41" s="72"/>
      <c r="E41" s="73">
        <v>563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58">
        <f t="shared" si="4"/>
        <v>0</v>
      </c>
    </row>
    <row r="42" spans="1:18" ht="13.5" x14ac:dyDescent="0.25">
      <c r="A42" s="69" t="s">
        <v>87</v>
      </c>
      <c r="B42" s="56"/>
      <c r="C42" s="61"/>
      <c r="D42" s="66"/>
      <c r="E42" s="67"/>
      <c r="F42" s="70">
        <f>+F43+F44</f>
        <v>0</v>
      </c>
      <c r="G42" s="70">
        <f t="shared" ref="G42:L42" si="8">+G43+G44</f>
        <v>0</v>
      </c>
      <c r="H42" s="70">
        <f t="shared" si="8"/>
        <v>0</v>
      </c>
      <c r="I42" s="70">
        <f t="shared" si="8"/>
        <v>0</v>
      </c>
      <c r="J42" s="70">
        <f t="shared" si="8"/>
        <v>0</v>
      </c>
      <c r="K42" s="70">
        <v>0</v>
      </c>
      <c r="L42" s="70">
        <f t="shared" si="8"/>
        <v>0</v>
      </c>
      <c r="M42" s="70">
        <f>+M43+M44</f>
        <v>0</v>
      </c>
      <c r="N42" s="70">
        <f>+N43+N44</f>
        <v>0</v>
      </c>
      <c r="O42" s="70">
        <f>+O43+O44</f>
        <v>0</v>
      </c>
      <c r="P42" s="70">
        <f>+P43+P44</f>
        <v>0</v>
      </c>
      <c r="Q42" s="70">
        <f>+Q43+Q44</f>
        <v>0</v>
      </c>
      <c r="R42" s="23">
        <f t="shared" si="4"/>
        <v>0</v>
      </c>
    </row>
    <row r="43" spans="1:18" ht="13.5" x14ac:dyDescent="0.25">
      <c r="A43" s="65"/>
      <c r="B43" s="56" t="s">
        <v>63</v>
      </c>
      <c r="C43" s="61" t="s">
        <v>21</v>
      </c>
      <c r="D43" s="3"/>
      <c r="E43" s="16">
        <v>591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v>0</v>
      </c>
      <c r="R43" s="58">
        <f t="shared" si="4"/>
        <v>0</v>
      </c>
    </row>
    <row r="44" spans="1:18" ht="14.25" thickBot="1" x14ac:dyDescent="0.3">
      <c r="A44" s="65"/>
      <c r="B44" s="74" t="s">
        <v>68</v>
      </c>
      <c r="C44" s="75" t="s">
        <v>22</v>
      </c>
      <c r="D44" s="72"/>
      <c r="E44" s="73">
        <v>595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58">
        <f t="shared" si="4"/>
        <v>0</v>
      </c>
    </row>
    <row r="45" spans="1:18" ht="15.75" customHeight="1" thickBot="1" x14ac:dyDescent="0.4">
      <c r="A45" s="42" t="s">
        <v>88</v>
      </c>
      <c r="B45" s="43"/>
      <c r="C45" s="76"/>
      <c r="D45" s="76"/>
      <c r="E45" s="77"/>
      <c r="F45" s="78">
        <f t="shared" ref="F45:Q45" si="9">+F46+F60+F64</f>
        <v>39363730.999999993</v>
      </c>
      <c r="G45" s="78">
        <f t="shared" si="9"/>
        <v>37080689.140000001</v>
      </c>
      <c r="H45" s="78">
        <f t="shared" si="9"/>
        <v>40536307.480000004</v>
      </c>
      <c r="I45" s="78">
        <f t="shared" si="9"/>
        <v>40874217.549999997</v>
      </c>
      <c r="J45" s="78">
        <f t="shared" si="9"/>
        <v>39240130.180000007</v>
      </c>
      <c r="K45" s="78">
        <f t="shared" si="9"/>
        <v>39849689.659999996</v>
      </c>
      <c r="L45" s="78">
        <f t="shared" si="9"/>
        <v>38046907.030000001</v>
      </c>
      <c r="M45" s="78">
        <f t="shared" si="9"/>
        <v>39035649.500000007</v>
      </c>
      <c r="N45" s="78">
        <f>+N46+N60+N64</f>
        <v>36887497.890000001</v>
      </c>
      <c r="O45" s="78">
        <f t="shared" si="9"/>
        <v>39593279.040000014</v>
      </c>
      <c r="P45" s="78">
        <f t="shared" si="9"/>
        <v>38785470.130000003</v>
      </c>
      <c r="Q45" s="78">
        <f t="shared" si="9"/>
        <v>34402952.140000008</v>
      </c>
      <c r="R45" s="79">
        <f t="shared" si="4"/>
        <v>463696520.73999995</v>
      </c>
    </row>
    <row r="46" spans="1:18" ht="15.75" customHeight="1" x14ac:dyDescent="0.2">
      <c r="A46" s="47" t="s">
        <v>89</v>
      </c>
      <c r="B46" s="80"/>
      <c r="C46" s="81"/>
      <c r="D46" s="4"/>
      <c r="E46" s="15"/>
      <c r="F46" s="50">
        <f t="shared" ref="F46:Q46" si="10">+SUM(F47:F59)</f>
        <v>35334684.639999993</v>
      </c>
      <c r="G46" s="50">
        <f t="shared" si="10"/>
        <v>32723947.359999999</v>
      </c>
      <c r="H46" s="50">
        <f t="shared" si="10"/>
        <v>35867528.340000004</v>
      </c>
      <c r="I46" s="50">
        <f t="shared" si="10"/>
        <v>35052370.25</v>
      </c>
      <c r="J46" s="50">
        <f t="shared" si="10"/>
        <v>36271847.860000007</v>
      </c>
      <c r="K46" s="50">
        <f t="shared" si="10"/>
        <v>37029267.269999996</v>
      </c>
      <c r="L46" s="50">
        <f t="shared" si="10"/>
        <v>34740672.719999999</v>
      </c>
      <c r="M46" s="50">
        <f t="shared" si="10"/>
        <v>38175733.850000009</v>
      </c>
      <c r="N46" s="50">
        <f t="shared" si="10"/>
        <v>34471531.460000001</v>
      </c>
      <c r="O46" s="50">
        <f t="shared" si="10"/>
        <v>36598960.760000013</v>
      </c>
      <c r="P46" s="50">
        <f t="shared" si="10"/>
        <v>35341447.160000004</v>
      </c>
      <c r="Q46" s="50">
        <f t="shared" si="10"/>
        <v>34137740.190000005</v>
      </c>
      <c r="R46" s="22">
        <f t="shared" si="4"/>
        <v>425745731.86000001</v>
      </c>
    </row>
    <row r="47" spans="1:18" ht="13.5" x14ac:dyDescent="0.25">
      <c r="A47" s="55"/>
      <c r="B47" s="52" t="s">
        <v>62</v>
      </c>
      <c r="C47" s="81" t="s">
        <v>56</v>
      </c>
      <c r="D47" s="4"/>
      <c r="E47" s="15">
        <v>601</v>
      </c>
      <c r="F47" s="54">
        <v>0</v>
      </c>
      <c r="G47" s="54">
        <v>2644.62</v>
      </c>
      <c r="H47" s="54">
        <v>2644.62</v>
      </c>
      <c r="I47" s="54">
        <v>6611.55</v>
      </c>
      <c r="J47" s="54">
        <v>0</v>
      </c>
      <c r="K47" s="54">
        <v>1528.93</v>
      </c>
      <c r="L47" s="54">
        <v>4586.5200000000004</v>
      </c>
      <c r="M47" s="54">
        <v>1528.84</v>
      </c>
      <c r="N47" s="54">
        <v>0</v>
      </c>
      <c r="O47" s="54">
        <v>4586.5200000000004</v>
      </c>
      <c r="P47" s="54">
        <v>6115.36</v>
      </c>
      <c r="Q47" s="54">
        <v>1528.84</v>
      </c>
      <c r="R47" s="53">
        <f t="shared" si="4"/>
        <v>31775.800000000003</v>
      </c>
    </row>
    <row r="48" spans="1:18" ht="13.5" x14ac:dyDescent="0.25">
      <c r="A48" s="55"/>
      <c r="B48" s="56" t="s">
        <v>63</v>
      </c>
      <c r="C48" s="81" t="s">
        <v>57</v>
      </c>
      <c r="D48" s="3"/>
      <c r="E48" s="16">
        <v>602</v>
      </c>
      <c r="F48" s="57">
        <v>35163850.829999998</v>
      </c>
      <c r="G48" s="57">
        <v>32560496.23</v>
      </c>
      <c r="H48" s="57">
        <v>35644302.380000003</v>
      </c>
      <c r="I48" s="57">
        <v>34866032.890000001</v>
      </c>
      <c r="J48" s="57">
        <v>36044463.770000003</v>
      </c>
      <c r="K48" s="57">
        <v>36629791.759999998</v>
      </c>
      <c r="L48" s="57">
        <v>34527187.479999997</v>
      </c>
      <c r="M48" s="57">
        <v>38000977.840000004</v>
      </c>
      <c r="N48" s="57">
        <v>34272569.68</v>
      </c>
      <c r="O48" s="57">
        <v>36376859.340000004</v>
      </c>
      <c r="P48" s="57">
        <v>35125961.969999999</v>
      </c>
      <c r="Q48" s="57">
        <v>33856658.5</v>
      </c>
      <c r="R48" s="58">
        <f t="shared" si="4"/>
        <v>423069152.66999996</v>
      </c>
    </row>
    <row r="49" spans="1:18" ht="13.5" x14ac:dyDescent="0.25">
      <c r="A49" s="55"/>
      <c r="B49" s="56" t="s">
        <v>68</v>
      </c>
      <c r="C49" s="81" t="s">
        <v>47</v>
      </c>
      <c r="D49" s="3"/>
      <c r="E49" s="16">
        <v>603</v>
      </c>
      <c r="F49" s="57">
        <v>91646.28</v>
      </c>
      <c r="G49" s="101">
        <v>90540.49</v>
      </c>
      <c r="H49" s="57">
        <v>102565.24</v>
      </c>
      <c r="I49" s="57">
        <v>94027.27</v>
      </c>
      <c r="J49" s="57">
        <v>84648.67</v>
      </c>
      <c r="K49" s="57">
        <v>109151.11</v>
      </c>
      <c r="L49" s="57">
        <v>82582.559999999998</v>
      </c>
      <c r="M49" s="57">
        <v>83514.789999999994</v>
      </c>
      <c r="N49" s="57">
        <v>95513.09</v>
      </c>
      <c r="O49" s="57">
        <v>84400.74</v>
      </c>
      <c r="P49" s="57">
        <v>84979.24</v>
      </c>
      <c r="Q49" s="57">
        <v>105962.67</v>
      </c>
      <c r="R49" s="58">
        <f t="shared" si="4"/>
        <v>1109532.1500000001</v>
      </c>
    </row>
    <row r="50" spans="1:18" ht="13.5" x14ac:dyDescent="0.25">
      <c r="A50" s="55"/>
      <c r="B50" s="56" t="s">
        <v>69</v>
      </c>
      <c r="C50" s="82" t="s">
        <v>90</v>
      </c>
      <c r="D50" s="83"/>
      <c r="E50" s="16">
        <v>604</v>
      </c>
      <c r="F50" s="57">
        <v>68343.3</v>
      </c>
      <c r="G50" s="57">
        <v>65697.83</v>
      </c>
      <c r="H50" s="57">
        <v>85861.67</v>
      </c>
      <c r="I50" s="57">
        <v>72541.91</v>
      </c>
      <c r="J50" s="57">
        <v>84581.78</v>
      </c>
      <c r="K50" s="57">
        <v>75134.899999999994</v>
      </c>
      <c r="L50" s="57">
        <v>70629.73</v>
      </c>
      <c r="M50" s="57">
        <v>68575.13</v>
      </c>
      <c r="N50" s="57">
        <v>58536.5</v>
      </c>
      <c r="O50" s="57">
        <v>76594.09</v>
      </c>
      <c r="P50" s="57">
        <v>70504.31</v>
      </c>
      <c r="Q50" s="57">
        <v>49853.07</v>
      </c>
      <c r="R50" s="58">
        <f t="shared" si="4"/>
        <v>846854.21999999986</v>
      </c>
    </row>
    <row r="51" spans="1:18" ht="13.5" x14ac:dyDescent="0.25">
      <c r="A51" s="55"/>
      <c r="B51" s="56" t="s">
        <v>71</v>
      </c>
      <c r="C51" s="3" t="s">
        <v>91</v>
      </c>
      <c r="D51" s="83"/>
      <c r="E51" s="16">
        <v>609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8">
        <f t="shared" si="4"/>
        <v>0</v>
      </c>
    </row>
    <row r="52" spans="1:18" ht="13.5" x14ac:dyDescent="0.25">
      <c r="A52" s="55"/>
      <c r="B52" s="56" t="s">
        <v>73</v>
      </c>
      <c r="C52" s="61" t="s">
        <v>92</v>
      </c>
      <c r="D52" s="83"/>
      <c r="E52" s="16">
        <v>641.64200000000005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8">
        <f t="shared" si="4"/>
        <v>0</v>
      </c>
    </row>
    <row r="53" spans="1:18" ht="13.5" x14ac:dyDescent="0.25">
      <c r="A53" s="55"/>
      <c r="B53" s="56" t="s">
        <v>118</v>
      </c>
      <c r="C53" s="102" t="s">
        <v>117</v>
      </c>
      <c r="D53" s="83"/>
      <c r="E53" s="16">
        <v>643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8">
        <f t="shared" si="4"/>
        <v>0</v>
      </c>
    </row>
    <row r="54" spans="1:18" ht="13.5" x14ac:dyDescent="0.25">
      <c r="A54" s="55"/>
      <c r="B54" s="56" t="s">
        <v>70</v>
      </c>
      <c r="C54" s="82" t="s">
        <v>93</v>
      </c>
      <c r="D54" s="83"/>
      <c r="E54" s="84">
        <v>644</v>
      </c>
      <c r="F54" s="57">
        <v>603.29</v>
      </c>
      <c r="G54" s="57">
        <v>109.57</v>
      </c>
      <c r="H54" s="57">
        <v>0</v>
      </c>
      <c r="I54" s="57">
        <v>1719.84</v>
      </c>
      <c r="J54" s="57">
        <v>17861.29</v>
      </c>
      <c r="K54" s="57">
        <v>176481.49</v>
      </c>
      <c r="L54" s="57">
        <v>246</v>
      </c>
      <c r="M54" s="57">
        <v>9390</v>
      </c>
      <c r="N54" s="57">
        <v>5697.41</v>
      </c>
      <c r="O54" s="57">
        <v>907.85</v>
      </c>
      <c r="P54" s="57">
        <v>457.47</v>
      </c>
      <c r="Q54" s="57">
        <v>0</v>
      </c>
      <c r="R54" s="58">
        <f t="shared" si="4"/>
        <v>213474.21</v>
      </c>
    </row>
    <row r="55" spans="1:18" ht="13.5" x14ac:dyDescent="0.25">
      <c r="A55" s="55"/>
      <c r="B55" s="56" t="s">
        <v>72</v>
      </c>
      <c r="C55" s="81" t="s">
        <v>94</v>
      </c>
      <c r="D55" s="85"/>
      <c r="E55" s="86">
        <v>645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v>0</v>
      </c>
      <c r="R55" s="58">
        <f t="shared" si="4"/>
        <v>0</v>
      </c>
    </row>
    <row r="56" spans="1:18" ht="13.5" x14ac:dyDescent="0.25">
      <c r="A56" s="55"/>
      <c r="B56" s="56" t="s">
        <v>8</v>
      </c>
      <c r="C56" s="81" t="s">
        <v>95</v>
      </c>
      <c r="D56" s="3"/>
      <c r="E56" s="84">
        <v>646</v>
      </c>
      <c r="F56" s="57">
        <v>0</v>
      </c>
      <c r="G56" s="57">
        <v>0</v>
      </c>
      <c r="H56" s="57">
        <v>0</v>
      </c>
      <c r="I56" s="57">
        <v>0</v>
      </c>
      <c r="J56" s="57">
        <v>33049.589999999997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8">
        <f t="shared" si="4"/>
        <v>33049.589999999997</v>
      </c>
    </row>
    <row r="57" spans="1:18" ht="13.5" x14ac:dyDescent="0.25">
      <c r="A57" s="55"/>
      <c r="B57" s="56" t="s">
        <v>119</v>
      </c>
      <c r="C57" s="81" t="s">
        <v>96</v>
      </c>
      <c r="D57" s="85"/>
      <c r="E57" s="86">
        <v>647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8">
        <f t="shared" si="4"/>
        <v>0</v>
      </c>
    </row>
    <row r="58" spans="1:18" ht="13.5" x14ac:dyDescent="0.25">
      <c r="A58" s="55"/>
      <c r="B58" s="56" t="s">
        <v>10</v>
      </c>
      <c r="C58" s="82" t="s">
        <v>48</v>
      </c>
      <c r="D58" s="3"/>
      <c r="E58" s="16">
        <v>648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40000</v>
      </c>
      <c r="M58" s="57">
        <v>0</v>
      </c>
      <c r="N58" s="57">
        <v>0</v>
      </c>
      <c r="O58" s="57">
        <v>0</v>
      </c>
      <c r="P58" s="57">
        <v>0</v>
      </c>
      <c r="Q58" s="57">
        <v>0</v>
      </c>
      <c r="R58" s="58">
        <f t="shared" si="4"/>
        <v>40000</v>
      </c>
    </row>
    <row r="59" spans="1:18" ht="13.5" customHeight="1" x14ac:dyDescent="0.25">
      <c r="A59" s="55"/>
      <c r="B59" s="56" t="s">
        <v>11</v>
      </c>
      <c r="C59" s="82" t="s">
        <v>49</v>
      </c>
      <c r="D59" s="3"/>
      <c r="E59" s="16">
        <v>649</v>
      </c>
      <c r="F59" s="57">
        <v>10240.94</v>
      </c>
      <c r="G59" s="101">
        <v>4458.62</v>
      </c>
      <c r="H59" s="57">
        <v>32154.43</v>
      </c>
      <c r="I59" s="57">
        <v>11436.79</v>
      </c>
      <c r="J59" s="57">
        <v>7242.76</v>
      </c>
      <c r="K59" s="57">
        <v>37179.08</v>
      </c>
      <c r="L59" s="57">
        <v>15440.43</v>
      </c>
      <c r="M59" s="57">
        <v>11747.25</v>
      </c>
      <c r="N59" s="57">
        <v>39214.78</v>
      </c>
      <c r="O59" s="57">
        <v>55612.22</v>
      </c>
      <c r="P59" s="57">
        <v>53428.81</v>
      </c>
      <c r="Q59" s="57">
        <v>123737.11</v>
      </c>
      <c r="R59" s="58">
        <f t="shared" si="4"/>
        <v>401893.22</v>
      </c>
    </row>
    <row r="60" spans="1:18" ht="13.5" customHeight="1" x14ac:dyDescent="0.25">
      <c r="A60" s="69" t="s">
        <v>97</v>
      </c>
      <c r="B60" s="56"/>
      <c r="C60" s="61"/>
      <c r="D60" s="66"/>
      <c r="E60" s="67"/>
      <c r="F60" s="70">
        <f>F61+F63</f>
        <v>30038.37</v>
      </c>
      <c r="G60" s="70">
        <f t="shared" ref="G60:M60" si="11">G61+G63</f>
        <v>2777.26</v>
      </c>
      <c r="H60" s="70">
        <f t="shared" si="11"/>
        <v>35096.61</v>
      </c>
      <c r="I60" s="70">
        <f t="shared" si="11"/>
        <v>50004.480000000003</v>
      </c>
      <c r="J60" s="70">
        <f t="shared" si="11"/>
        <v>54291.93</v>
      </c>
      <c r="K60" s="70">
        <f t="shared" si="11"/>
        <v>48868.93</v>
      </c>
      <c r="L60" s="70">
        <f t="shared" si="11"/>
        <v>72674.820000000007</v>
      </c>
      <c r="M60" s="70">
        <f t="shared" si="11"/>
        <v>122664.53</v>
      </c>
      <c r="N60" s="70">
        <f>N61+N63+N62</f>
        <v>88143.18</v>
      </c>
      <c r="O60" s="70">
        <f t="shared" ref="O60:Q60" si="12">O61+O63+O62</f>
        <v>103738.15</v>
      </c>
      <c r="P60" s="70">
        <f t="shared" si="12"/>
        <v>92297.86</v>
      </c>
      <c r="Q60" s="70">
        <f t="shared" si="12"/>
        <v>73296.45</v>
      </c>
      <c r="R60" s="23">
        <f t="shared" si="4"/>
        <v>773892.57</v>
      </c>
    </row>
    <row r="61" spans="1:18" ht="13.5" x14ac:dyDescent="0.25">
      <c r="A61" s="55"/>
      <c r="B61" s="56" t="s">
        <v>62</v>
      </c>
      <c r="C61" s="82" t="s">
        <v>86</v>
      </c>
      <c r="D61" s="3"/>
      <c r="E61" s="16">
        <v>662</v>
      </c>
      <c r="F61" s="57">
        <v>30038.37</v>
      </c>
      <c r="G61" s="57">
        <v>2777.26</v>
      </c>
      <c r="H61" s="57">
        <v>35096.61</v>
      </c>
      <c r="I61" s="57">
        <v>50004.480000000003</v>
      </c>
      <c r="J61" s="57">
        <v>54291.93</v>
      </c>
      <c r="K61" s="57">
        <v>48868.93</v>
      </c>
      <c r="L61" s="57">
        <v>72674.820000000007</v>
      </c>
      <c r="M61" s="57">
        <v>122664.53</v>
      </c>
      <c r="N61" s="57">
        <v>88143.18</v>
      </c>
      <c r="O61" s="57">
        <v>103738.15</v>
      </c>
      <c r="P61" s="57">
        <v>92297.86</v>
      </c>
      <c r="Q61" s="57">
        <v>73296.45</v>
      </c>
      <c r="R61" s="58">
        <f t="shared" si="4"/>
        <v>773892.57</v>
      </c>
    </row>
    <row r="62" spans="1:18" ht="13.5" x14ac:dyDescent="0.25">
      <c r="A62" s="55"/>
      <c r="B62" s="56"/>
      <c r="C62" s="82" t="s">
        <v>126</v>
      </c>
      <c r="D62" s="3"/>
      <c r="E62" s="16">
        <v>663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8">
        <f t="shared" si="4"/>
        <v>0</v>
      </c>
    </row>
    <row r="63" spans="1:18" ht="13.5" x14ac:dyDescent="0.25">
      <c r="A63" s="55"/>
      <c r="B63" s="56" t="s">
        <v>63</v>
      </c>
      <c r="C63" s="82" t="s">
        <v>98</v>
      </c>
      <c r="D63" s="3"/>
      <c r="E63" s="16">
        <v>669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v>0</v>
      </c>
      <c r="R63" s="58">
        <f t="shared" si="4"/>
        <v>0</v>
      </c>
    </row>
    <row r="64" spans="1:18" ht="13.5" x14ac:dyDescent="0.25">
      <c r="A64" s="69" t="s">
        <v>99</v>
      </c>
      <c r="B64" s="56"/>
      <c r="C64" s="61"/>
      <c r="D64" s="66"/>
      <c r="E64" s="67"/>
      <c r="F64" s="70">
        <f>+F65+F68+F80</f>
        <v>3999007.9899999998</v>
      </c>
      <c r="G64" s="70">
        <f>+G65+G68+G80+G66</f>
        <v>4353964.5199999996</v>
      </c>
      <c r="H64" s="70">
        <f>+H65+H68+H80+H66+H67</f>
        <v>4633682.53</v>
      </c>
      <c r="I64" s="70">
        <f>+I65+I68+I80+I66+I67</f>
        <v>5771842.8200000003</v>
      </c>
      <c r="J64" s="70">
        <f>+J65+J68+J80+J66+J67</f>
        <v>2913990.39</v>
      </c>
      <c r="K64" s="70">
        <f>+K65+K68+K80+K66+K67</f>
        <v>2771553.4599999995</v>
      </c>
      <c r="L64" s="70">
        <f t="shared" ref="L64:O64" si="13">+L65+L68+L80+L66+L67</f>
        <v>3233559.49</v>
      </c>
      <c r="M64" s="70">
        <f t="shared" si="13"/>
        <v>737251.12</v>
      </c>
      <c r="N64" s="70">
        <f>+N65+N68+N80+N66+N67</f>
        <v>2327823.25</v>
      </c>
      <c r="O64" s="70">
        <f t="shared" si="13"/>
        <v>2890580.13</v>
      </c>
      <c r="P64" s="70">
        <f>+P65+P68+P80+P66+P67</f>
        <v>3351725.1100000003</v>
      </c>
      <c r="Q64" s="70">
        <f>+Q65+Q68+Q80+Q66+Q67</f>
        <v>191915.50000000012</v>
      </c>
      <c r="R64" s="23">
        <f>SUM(F64:Q64)</f>
        <v>37176896.310000002</v>
      </c>
    </row>
    <row r="65" spans="1:18" ht="13.5" x14ac:dyDescent="0.25">
      <c r="A65" s="55"/>
      <c r="B65" s="56" t="s">
        <v>62</v>
      </c>
      <c r="C65" s="106" t="s">
        <v>114</v>
      </c>
      <c r="D65" s="3"/>
      <c r="E65" s="16">
        <v>672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8">
        <f t="shared" si="4"/>
        <v>0</v>
      </c>
    </row>
    <row r="66" spans="1:18" ht="13.5" x14ac:dyDescent="0.25">
      <c r="A66" s="55"/>
      <c r="B66" s="56"/>
      <c r="C66" s="106" t="s">
        <v>112</v>
      </c>
      <c r="D66" s="3"/>
      <c r="E66" s="16"/>
      <c r="F66" s="54">
        <v>0</v>
      </c>
      <c r="G66" s="57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8">
        <f t="shared" si="4"/>
        <v>0</v>
      </c>
    </row>
    <row r="67" spans="1:18" ht="13.5" x14ac:dyDescent="0.25">
      <c r="A67" s="55"/>
      <c r="B67" s="56"/>
      <c r="C67" s="106" t="s">
        <v>121</v>
      </c>
      <c r="D67" s="3"/>
      <c r="E67" s="16"/>
      <c r="F67" s="54">
        <v>0</v>
      </c>
      <c r="G67" s="54">
        <v>0</v>
      </c>
      <c r="H67" s="54">
        <v>79910</v>
      </c>
      <c r="I67" s="54">
        <v>24000</v>
      </c>
      <c r="J67" s="54">
        <v>112000</v>
      </c>
      <c r="K67" s="54">
        <v>63415</v>
      </c>
      <c r="L67" s="54">
        <v>8000</v>
      </c>
      <c r="M67" s="54">
        <v>102815</v>
      </c>
      <c r="N67" s="54">
        <v>8000</v>
      </c>
      <c r="O67" s="54">
        <v>71070</v>
      </c>
      <c r="P67" s="54">
        <v>48000</v>
      </c>
      <c r="Q67" s="54">
        <v>0</v>
      </c>
      <c r="R67" s="58">
        <f>SUM(F67:Q67)</f>
        <v>517210</v>
      </c>
    </row>
    <row r="68" spans="1:18" ht="13.5" x14ac:dyDescent="0.25">
      <c r="A68" s="55"/>
      <c r="B68" s="56" t="s">
        <v>63</v>
      </c>
      <c r="C68" s="87" t="s">
        <v>100</v>
      </c>
      <c r="D68" s="61"/>
      <c r="E68" s="84">
        <v>672</v>
      </c>
      <c r="F68" s="50">
        <f>+F69+F70+F75+F76+F79+F72+F73+F77</f>
        <v>3773285.9899999998</v>
      </c>
      <c r="G68" s="50">
        <f>+G69+G70+G75+G76+G79+G72+G73+G77</f>
        <v>4128242.52</v>
      </c>
      <c r="H68" s="50">
        <f>+H69+H70+H75+H76+H79+H72+H73+H77</f>
        <v>4328050.53</v>
      </c>
      <c r="I68" s="50">
        <f>+I69+I70+I75+I76+I79+I72+I73+I71+I77</f>
        <v>5522119.8200000003</v>
      </c>
      <c r="J68" s="50">
        <f>+J69+J70+J75+J76+J79+J72+J73+J71</f>
        <v>2576267.39</v>
      </c>
      <c r="K68" s="50">
        <f>+K69+K70+K75+K76+K79+K72+K73+K71</f>
        <v>2482415.4599999995</v>
      </c>
      <c r="L68" s="50">
        <f t="shared" ref="L68:O68" si="14">+L69+L70+L75+L76+L79+L72+L73+L71</f>
        <v>2999842.49</v>
      </c>
      <c r="M68" s="50">
        <f t="shared" si="14"/>
        <v>408719.12</v>
      </c>
      <c r="N68" s="50">
        <f>+N69+N70+N75+N76+N79+N72+N73+N71</f>
        <v>2092964.25</v>
      </c>
      <c r="O68" s="50">
        <f t="shared" si="14"/>
        <v>2592651.13</v>
      </c>
      <c r="P68" s="50">
        <f>+P69+P70+P75+P76+P79+P72+P73+P71+P77+P74</f>
        <v>3076866.1100000003</v>
      </c>
      <c r="Q68" s="50">
        <f>+Q69+Q70+Q75+Q76+Q79+Q72+Q73+Q71+Q77</f>
        <v>-34943.499999999891</v>
      </c>
      <c r="R68" s="23">
        <f>SUM(F68:Q68)</f>
        <v>33946481.310000002</v>
      </c>
    </row>
    <row r="69" spans="1:18" ht="13.5" customHeight="1" x14ac:dyDescent="0.25">
      <c r="A69" s="55"/>
      <c r="B69" s="56"/>
      <c r="C69" s="82" t="s">
        <v>1</v>
      </c>
      <c r="D69" s="3" t="s">
        <v>58</v>
      </c>
      <c r="E69" s="86"/>
      <c r="F69" s="57">
        <v>742750</v>
      </c>
      <c r="G69" s="57">
        <v>742750</v>
      </c>
      <c r="H69" s="57">
        <v>244250</v>
      </c>
      <c r="I69" s="57">
        <v>244250</v>
      </c>
      <c r="J69" s="57">
        <v>244250</v>
      </c>
      <c r="K69" s="57">
        <v>244250</v>
      </c>
      <c r="L69" s="57">
        <v>244250</v>
      </c>
      <c r="M69" s="57">
        <v>-2696750</v>
      </c>
      <c r="N69" s="57">
        <v>0</v>
      </c>
      <c r="O69" s="57">
        <v>0</v>
      </c>
      <c r="P69" s="57">
        <v>0</v>
      </c>
      <c r="Q69" s="57">
        <v>0</v>
      </c>
      <c r="R69" s="58">
        <f t="shared" si="4"/>
        <v>10000</v>
      </c>
    </row>
    <row r="70" spans="1:18" ht="13.5" customHeight="1" x14ac:dyDescent="0.25">
      <c r="A70" s="55"/>
      <c r="B70" s="88"/>
      <c r="C70" s="82"/>
      <c r="D70" s="3" t="s">
        <v>132</v>
      </c>
      <c r="E70" s="15"/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8">
        <f t="shared" si="4"/>
        <v>0</v>
      </c>
    </row>
    <row r="71" spans="1:18" ht="13.5" customHeight="1" x14ac:dyDescent="0.25">
      <c r="A71" s="55"/>
      <c r="B71" s="88"/>
      <c r="C71" s="82"/>
      <c r="D71" s="3" t="s">
        <v>111</v>
      </c>
      <c r="E71" s="15"/>
      <c r="F71" s="54">
        <v>0</v>
      </c>
      <c r="G71" s="54">
        <v>0</v>
      </c>
      <c r="H71" s="54">
        <v>0</v>
      </c>
      <c r="I71" s="54">
        <v>184450.98</v>
      </c>
      <c r="J71" s="54">
        <v>100333.16</v>
      </c>
      <c r="K71" s="54">
        <v>202314.53</v>
      </c>
      <c r="L71" s="54">
        <v>659502.03</v>
      </c>
      <c r="M71" s="54">
        <v>937721.26</v>
      </c>
      <c r="N71" s="54">
        <v>0</v>
      </c>
      <c r="O71" s="54">
        <v>0</v>
      </c>
      <c r="P71" s="54">
        <v>112901.33</v>
      </c>
      <c r="Q71" s="54">
        <v>1136780.07</v>
      </c>
      <c r="R71" s="58">
        <f t="shared" si="4"/>
        <v>3334003.3600000003</v>
      </c>
    </row>
    <row r="72" spans="1:18" ht="13.5" customHeight="1" x14ac:dyDescent="0.25">
      <c r="A72" s="55"/>
      <c r="B72" s="88"/>
      <c r="C72" s="82"/>
      <c r="D72" s="3" t="s">
        <v>129</v>
      </c>
      <c r="E72" s="15"/>
      <c r="F72" s="54">
        <v>1360183.04</v>
      </c>
      <c r="G72" s="54">
        <v>1162883.8400000001</v>
      </c>
      <c r="H72" s="54">
        <v>896854.9</v>
      </c>
      <c r="I72" s="54">
        <v>793741.9</v>
      </c>
      <c r="J72" s="54">
        <v>505828.59</v>
      </c>
      <c r="K72" s="54">
        <v>340011.88</v>
      </c>
      <c r="L72" s="54">
        <v>333836.34999999998</v>
      </c>
      <c r="M72" s="54">
        <v>375743.26</v>
      </c>
      <c r="N72" s="54">
        <v>353129.64</v>
      </c>
      <c r="O72" s="54">
        <v>644603.88</v>
      </c>
      <c r="P72" s="54">
        <v>927399.39</v>
      </c>
      <c r="Q72" s="54">
        <v>-1318323.6200000001</v>
      </c>
      <c r="R72" s="58">
        <f>SUM(F72:Q72)</f>
        <v>6375893.049999998</v>
      </c>
    </row>
    <row r="73" spans="1:18" ht="13.5" customHeight="1" x14ac:dyDescent="0.25">
      <c r="A73" s="55"/>
      <c r="B73" s="88"/>
      <c r="C73" s="82"/>
      <c r="D73" s="3" t="s">
        <v>130</v>
      </c>
      <c r="E73" s="15"/>
      <c r="F73" s="54">
        <v>598784.76</v>
      </c>
      <c r="G73" s="54">
        <v>544279.68000000005</v>
      </c>
      <c r="H73" s="54">
        <v>430755.81</v>
      </c>
      <c r="I73" s="54">
        <v>403800.04</v>
      </c>
      <c r="J73" s="54">
        <v>373713.64</v>
      </c>
      <c r="K73" s="54">
        <v>342935.67</v>
      </c>
      <c r="L73" s="54">
        <v>362575.11</v>
      </c>
      <c r="M73" s="54">
        <v>399848.6</v>
      </c>
      <c r="N73" s="54">
        <v>368121.06</v>
      </c>
      <c r="O73" s="54">
        <v>445794.28</v>
      </c>
      <c r="P73" s="54">
        <v>457177.44</v>
      </c>
      <c r="Q73" s="54">
        <v>-1057276.17</v>
      </c>
      <c r="R73" s="58">
        <f>SUM(F73:Q73)</f>
        <v>3670509.9200000009</v>
      </c>
    </row>
    <row r="74" spans="1:18" ht="13.5" customHeight="1" x14ac:dyDescent="0.25">
      <c r="A74" s="55"/>
      <c r="B74" s="88"/>
      <c r="C74" s="82"/>
      <c r="D74" s="102" t="s">
        <v>122</v>
      </c>
      <c r="E74" s="15"/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48232</v>
      </c>
      <c r="Q74" s="54">
        <v>0</v>
      </c>
      <c r="R74" s="58">
        <f t="shared" si="4"/>
        <v>48232</v>
      </c>
    </row>
    <row r="75" spans="1:18" ht="13.5" x14ac:dyDescent="0.25">
      <c r="A75" s="55"/>
      <c r="B75" s="89"/>
      <c r="C75" s="82"/>
      <c r="D75" s="3" t="s">
        <v>113</v>
      </c>
      <c r="E75" s="16"/>
      <c r="F75" s="57">
        <v>0</v>
      </c>
      <c r="G75" s="57">
        <v>642400</v>
      </c>
      <c r="H75" s="57">
        <v>321200</v>
      </c>
      <c r="I75" s="57">
        <v>321200</v>
      </c>
      <c r="J75" s="57">
        <v>321200</v>
      </c>
      <c r="K75" s="57">
        <v>321200</v>
      </c>
      <c r="L75" s="57">
        <v>321200</v>
      </c>
      <c r="M75" s="57">
        <v>321200</v>
      </c>
      <c r="N75" s="57">
        <v>321200</v>
      </c>
      <c r="O75" s="57">
        <v>384233.33</v>
      </c>
      <c r="P75" s="57">
        <v>384233.33</v>
      </c>
      <c r="Q75" s="57">
        <v>116827.58</v>
      </c>
      <c r="R75" s="64">
        <f t="shared" si="4"/>
        <v>3776094.24</v>
      </c>
    </row>
    <row r="76" spans="1:18" ht="13.5" x14ac:dyDescent="0.25">
      <c r="A76" s="55"/>
      <c r="B76" s="89"/>
      <c r="C76" s="82"/>
      <c r="D76" s="3" t="s">
        <v>101</v>
      </c>
      <c r="E76" s="16"/>
      <c r="F76" s="57">
        <v>1023847</v>
      </c>
      <c r="G76" s="57">
        <v>1023829</v>
      </c>
      <c r="H76" s="57">
        <v>997051.76</v>
      </c>
      <c r="I76" s="57">
        <v>1023828</v>
      </c>
      <c r="J76" s="57">
        <v>1030942</v>
      </c>
      <c r="K76" s="57">
        <v>991703.38</v>
      </c>
      <c r="L76" s="57">
        <v>1058479</v>
      </c>
      <c r="M76" s="57">
        <v>1070956</v>
      </c>
      <c r="N76" s="57">
        <v>1050513.55</v>
      </c>
      <c r="O76" s="57">
        <v>1081168</v>
      </c>
      <c r="P76" s="57">
        <v>1084165</v>
      </c>
      <c r="Q76" s="57">
        <f>1072264.84-0.58</f>
        <v>1072264.26</v>
      </c>
      <c r="R76" s="64">
        <f t="shared" si="4"/>
        <v>12508746.949999999</v>
      </c>
    </row>
    <row r="77" spans="1:18" ht="13.5" x14ac:dyDescent="0.25">
      <c r="A77" s="55"/>
      <c r="B77" s="89"/>
      <c r="C77" s="82"/>
      <c r="D77" s="102" t="s">
        <v>124</v>
      </c>
      <c r="E77" s="16"/>
      <c r="F77" s="57">
        <f>7744+39977.19</f>
        <v>47721.19</v>
      </c>
      <c r="G77" s="57">
        <v>12100</v>
      </c>
      <c r="H77" s="57">
        <f>31768.39+1406169.67</f>
        <v>1437938.0599999998</v>
      </c>
      <c r="I77" s="57">
        <f>411138.04+2139710.86</f>
        <v>2550848.9</v>
      </c>
      <c r="J77" s="57">
        <v>0</v>
      </c>
      <c r="K77" s="57">
        <v>0</v>
      </c>
      <c r="L77" s="57">
        <v>-0.57999999999999996</v>
      </c>
      <c r="M77" s="57">
        <v>0</v>
      </c>
      <c r="N77" s="57">
        <v>0</v>
      </c>
      <c r="O77" s="57">
        <v>0</v>
      </c>
      <c r="P77" s="57">
        <v>62757.62</v>
      </c>
      <c r="Q77" s="57">
        <v>14784.38</v>
      </c>
      <c r="R77" s="64">
        <f t="shared" si="4"/>
        <v>4126149.5699999994</v>
      </c>
    </row>
    <row r="78" spans="1:18" ht="13.5" x14ac:dyDescent="0.25">
      <c r="A78" s="55"/>
      <c r="B78" s="89"/>
      <c r="C78" s="82"/>
      <c r="D78" s="102" t="s">
        <v>125</v>
      </c>
      <c r="E78" s="16"/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64">
        <f t="shared" si="4"/>
        <v>0</v>
      </c>
    </row>
    <row r="79" spans="1:18" ht="13.5" x14ac:dyDescent="0.25">
      <c r="A79" s="55"/>
      <c r="B79" s="89"/>
      <c r="C79" s="82"/>
      <c r="D79" s="61" t="s">
        <v>102</v>
      </c>
      <c r="E79" s="16"/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40000</v>
      </c>
      <c r="L79" s="57">
        <v>20000</v>
      </c>
      <c r="M79" s="57">
        <v>0</v>
      </c>
      <c r="N79" s="57">
        <v>0</v>
      </c>
      <c r="O79" s="57">
        <v>36851.64</v>
      </c>
      <c r="P79" s="57">
        <v>0</v>
      </c>
      <c r="Q79" s="57">
        <v>0</v>
      </c>
      <c r="R79" s="64">
        <f t="shared" si="4"/>
        <v>96851.64</v>
      </c>
    </row>
    <row r="80" spans="1:18" ht="14.25" thickBot="1" x14ac:dyDescent="0.3">
      <c r="A80" s="95"/>
      <c r="B80" s="99" t="s">
        <v>68</v>
      </c>
      <c r="C80" s="98" t="s">
        <v>106</v>
      </c>
      <c r="D80" s="75"/>
      <c r="E80" s="96">
        <v>672</v>
      </c>
      <c r="F80" s="97">
        <f>5116+76835.47+143770.53</f>
        <v>225722</v>
      </c>
      <c r="G80" s="97">
        <f>5116+76835.47+143770.53</f>
        <v>225722</v>
      </c>
      <c r="H80" s="97">
        <f>6288.83+2642.27+75662.64+141128.26</f>
        <v>225722</v>
      </c>
      <c r="I80" s="97">
        <f>5116+76835.53+143771.47</f>
        <v>225723</v>
      </c>
      <c r="J80" s="97">
        <f>5116+76835.53+143771.47</f>
        <v>225723</v>
      </c>
      <c r="K80" s="97">
        <f>6958.91+5701.15+74992.62+138070.32</f>
        <v>225723</v>
      </c>
      <c r="L80" s="97">
        <f>5110+76835.53+143771.47</f>
        <v>225717</v>
      </c>
      <c r="M80" s="97">
        <f>143771.47+76835.53+5110</f>
        <v>225717</v>
      </c>
      <c r="N80" s="97">
        <f>6621.71+76465.82+139897.09+3874.38</f>
        <v>226859</v>
      </c>
      <c r="O80" s="97">
        <f>5110+77977.53+143771.47</f>
        <v>226859</v>
      </c>
      <c r="P80" s="97">
        <f>5110+77977.53+143771.47</f>
        <v>226859</v>
      </c>
      <c r="Q80" s="97">
        <f>6713.94+76373.59+137695.25+6076.22</f>
        <v>226859</v>
      </c>
      <c r="R80" s="64">
        <f t="shared" si="4"/>
        <v>2713205</v>
      </c>
    </row>
    <row r="81" spans="1:19" ht="17.25" thickBot="1" x14ac:dyDescent="0.4">
      <c r="A81" s="90" t="s">
        <v>103</v>
      </c>
      <c r="B81" s="100" t="s">
        <v>62</v>
      </c>
      <c r="C81" s="43" t="s">
        <v>104</v>
      </c>
      <c r="D81" s="76"/>
      <c r="E81" s="77"/>
      <c r="F81" s="78">
        <f t="shared" ref="F81:L81" si="15">+F45-F9+F42</f>
        <v>4344354.57</v>
      </c>
      <c r="G81" s="78">
        <f t="shared" si="15"/>
        <v>3945916.8499999903</v>
      </c>
      <c r="H81" s="78">
        <f t="shared" si="15"/>
        <v>3544909.1099999994</v>
      </c>
      <c r="I81" s="78">
        <f t="shared" si="15"/>
        <v>-417717.11999998987</v>
      </c>
      <c r="J81" s="78">
        <f t="shared" si="15"/>
        <v>3826309.2799999937</v>
      </c>
      <c r="K81" s="78">
        <f t="shared" si="15"/>
        <v>3010673.7999999896</v>
      </c>
      <c r="L81" s="78">
        <f t="shared" si="15"/>
        <v>697984.81000000238</v>
      </c>
      <c r="M81" s="78">
        <f>+M45-M9+M42</f>
        <v>1793504.1599999964</v>
      </c>
      <c r="N81" s="78">
        <f>+N45-N9+N42</f>
        <v>1906586.5599999949</v>
      </c>
      <c r="O81" s="78">
        <f t="shared" ref="O81:Q81" si="16">+O45-O9+O42</f>
        <v>3022984.6300000101</v>
      </c>
      <c r="P81" s="78">
        <f t="shared" si="16"/>
        <v>-2616372.3400000036</v>
      </c>
      <c r="Q81" s="78">
        <f t="shared" si="16"/>
        <v>-22713543.310000002</v>
      </c>
      <c r="R81" s="79">
        <f t="shared" si="4"/>
        <v>345590.99999998137</v>
      </c>
    </row>
    <row r="82" spans="1:19" ht="17.25" thickBot="1" x14ac:dyDescent="0.4">
      <c r="A82" s="91"/>
      <c r="B82" s="100" t="s">
        <v>63</v>
      </c>
      <c r="C82" s="43" t="s">
        <v>105</v>
      </c>
      <c r="D82" s="76"/>
      <c r="E82" s="77"/>
      <c r="F82" s="92">
        <f t="shared" ref="F82:L82" si="17">+F45-F9</f>
        <v>4344354.57</v>
      </c>
      <c r="G82" s="92">
        <f t="shared" si="17"/>
        <v>3945916.8499999903</v>
      </c>
      <c r="H82" s="92">
        <f t="shared" si="17"/>
        <v>3544909.1099999994</v>
      </c>
      <c r="I82" s="92">
        <f t="shared" si="17"/>
        <v>-417717.11999998987</v>
      </c>
      <c r="J82" s="92">
        <f t="shared" si="17"/>
        <v>3826309.2799999937</v>
      </c>
      <c r="K82" s="92">
        <f t="shared" si="17"/>
        <v>3010673.7999999896</v>
      </c>
      <c r="L82" s="92">
        <f t="shared" si="17"/>
        <v>697984.81000000238</v>
      </c>
      <c r="M82" s="92">
        <f>+M45-M9</f>
        <v>1793504.1599999964</v>
      </c>
      <c r="N82" s="92">
        <f t="shared" ref="N82:Q82" si="18">+N45-N9</f>
        <v>1906586.5599999949</v>
      </c>
      <c r="O82" s="92">
        <f t="shared" si="18"/>
        <v>3022984.6300000101</v>
      </c>
      <c r="P82" s="92">
        <f t="shared" si="18"/>
        <v>-2616372.3400000036</v>
      </c>
      <c r="Q82" s="92">
        <f t="shared" si="18"/>
        <v>-22713543.310000002</v>
      </c>
      <c r="R82" s="79">
        <f t="shared" si="4"/>
        <v>345590.99999998137</v>
      </c>
    </row>
    <row r="83" spans="1:19" ht="14.25" thickTop="1" x14ac:dyDescent="0.25">
      <c r="A83" s="33"/>
      <c r="B83" s="129" t="s">
        <v>123</v>
      </c>
      <c r="C83" s="130"/>
      <c r="D83" s="131"/>
      <c r="E83" s="30"/>
      <c r="F83" s="36">
        <v>420.29020000000003</v>
      </c>
      <c r="G83" s="36">
        <v>417.45839999999998</v>
      </c>
      <c r="H83" s="36">
        <v>417.0967</v>
      </c>
      <c r="I83" s="36">
        <v>416.82029999999997</v>
      </c>
      <c r="J83" s="36">
        <v>415.27530000000002</v>
      </c>
      <c r="K83" s="36">
        <v>416.1995</v>
      </c>
      <c r="L83" s="36">
        <v>418.12209999999999</v>
      </c>
      <c r="M83" s="36">
        <v>418.7672</v>
      </c>
      <c r="N83" s="36">
        <v>415.78280000000001</v>
      </c>
      <c r="O83" s="36">
        <v>417.22210000000001</v>
      </c>
      <c r="P83" s="36">
        <v>414.34949999999998</v>
      </c>
      <c r="Q83" s="103">
        <v>412.0172</v>
      </c>
      <c r="R83" s="115">
        <f>AVERAGE(F83:Q83)</f>
        <v>416.61677500000002</v>
      </c>
      <c r="S83">
        <v>420.8</v>
      </c>
    </row>
    <row r="84" spans="1:19" ht="14.25" thickBot="1" x14ac:dyDescent="0.3">
      <c r="A84" s="34"/>
      <c r="B84" s="132" t="s">
        <v>45</v>
      </c>
      <c r="C84" s="133"/>
      <c r="D84" s="134"/>
      <c r="E84" s="17"/>
      <c r="F84" s="37">
        <v>42875.92</v>
      </c>
      <c r="G84" s="37">
        <v>41882.19</v>
      </c>
      <c r="H84" s="37">
        <v>42852.480000000003</v>
      </c>
      <c r="I84" s="37">
        <v>51845.52</v>
      </c>
      <c r="J84" s="114" t="s">
        <v>131</v>
      </c>
      <c r="K84" s="37">
        <v>48116.37</v>
      </c>
      <c r="L84" s="37">
        <v>47395.12</v>
      </c>
      <c r="M84" s="37">
        <v>45869.78</v>
      </c>
      <c r="N84" s="37">
        <v>44866.99</v>
      </c>
      <c r="O84" s="37">
        <v>43425.91</v>
      </c>
      <c r="P84" s="37">
        <v>50541.42</v>
      </c>
      <c r="Q84" s="37">
        <v>59112.1</v>
      </c>
      <c r="R84" s="38">
        <f>AVERAGE(F84:Q84)</f>
        <v>47162.163636363635</v>
      </c>
    </row>
    <row r="85" spans="1:19" ht="14.25" thickTop="1" x14ac:dyDescent="0.25">
      <c r="A85" s="35"/>
      <c r="B85" s="135" t="s">
        <v>43</v>
      </c>
      <c r="C85" s="130"/>
      <c r="D85" s="131"/>
      <c r="E85" s="25"/>
      <c r="F85" s="26">
        <v>29765540.809999999</v>
      </c>
      <c r="G85" s="26">
        <v>33614409.770000003</v>
      </c>
      <c r="H85" s="26">
        <v>33675318.460000001</v>
      </c>
      <c r="I85" s="26">
        <v>26070439.41</v>
      </c>
      <c r="J85" s="26">
        <v>29902841.199999999</v>
      </c>
      <c r="K85" s="26">
        <v>24942223.129999999</v>
      </c>
      <c r="L85" s="26">
        <v>23455413.940000001</v>
      </c>
      <c r="M85" s="26">
        <v>24617735.079999998</v>
      </c>
      <c r="N85" s="26">
        <v>27191919.010000002</v>
      </c>
      <c r="O85" s="26">
        <v>29203131.940000001</v>
      </c>
      <c r="P85" s="26">
        <v>24745724.879999999</v>
      </c>
      <c r="Q85" s="27">
        <v>24537913.73</v>
      </c>
      <c r="R85" s="31"/>
    </row>
    <row r="86" spans="1:19" ht="14.25" thickBot="1" x14ac:dyDescent="0.3">
      <c r="A86" s="34"/>
      <c r="B86" s="132" t="s">
        <v>44</v>
      </c>
      <c r="C86" s="133"/>
      <c r="D86" s="134"/>
      <c r="E86" s="17"/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9">
        <v>0</v>
      </c>
      <c r="R86" s="32"/>
    </row>
    <row r="87" spans="1:19" ht="14.25" thickTop="1" x14ac:dyDescent="0.25">
      <c r="A87" s="108"/>
      <c r="E87" s="109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1"/>
      <c r="R87" s="112"/>
    </row>
    <row r="88" spans="1:19" ht="17.25" customHeight="1" x14ac:dyDescent="0.2">
      <c r="A88" s="104" t="s">
        <v>46</v>
      </c>
      <c r="D88" s="116" t="s">
        <v>127</v>
      </c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1:19" ht="16.5" customHeight="1" x14ac:dyDescent="0.2">
      <c r="D89" s="117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</row>
    <row r="90" spans="1:19" ht="14.25" customHeight="1" x14ac:dyDescent="0.2"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</row>
    <row r="91" spans="1:19" ht="18" customHeight="1" x14ac:dyDescent="0.2"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</row>
    <row r="92" spans="1:19" x14ac:dyDescent="0.2">
      <c r="A92" s="2"/>
      <c r="C92" s="24" t="s">
        <v>107</v>
      </c>
      <c r="D92" s="10" t="s">
        <v>108</v>
      </c>
      <c r="G92" s="24" t="s">
        <v>42</v>
      </c>
      <c r="H92" s="93">
        <v>45320</v>
      </c>
    </row>
    <row r="93" spans="1:19" x14ac:dyDescent="0.2">
      <c r="B93" t="s">
        <v>115</v>
      </c>
    </row>
  </sheetData>
  <protectedRanges>
    <protectedRange sqref="F1 H1:N1" name="Oblast7"/>
    <protectedRange sqref="F83:Q87" name="Oblast6"/>
    <protectedRange sqref="D88:R88" name="Oblast9"/>
    <protectedRange sqref="D92" name="Oblast10"/>
    <protectedRange sqref="H92:J92" name="Oblast11"/>
  </protectedRanges>
  <mergeCells count="9">
    <mergeCell ref="D88:R88"/>
    <mergeCell ref="D89:R89"/>
    <mergeCell ref="D90:R90"/>
    <mergeCell ref="A5:D7"/>
    <mergeCell ref="E5:E7"/>
    <mergeCell ref="B83:D83"/>
    <mergeCell ref="B84:D84"/>
    <mergeCell ref="B85:D85"/>
    <mergeCell ref="B86:D86"/>
  </mergeCells>
  <pageMargins left="0.7" right="0.7" top="0.78740157499999996" bottom="0.78740157499999996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</vt:lpstr>
    </vt:vector>
  </TitlesOfParts>
  <Company>ZZS OK, přísp.org.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Pavlíková Jana</dc:creator>
  <cp:lastModifiedBy>Trefil Michal</cp:lastModifiedBy>
  <cp:lastPrinted>2024-01-29T09:16:32Z</cp:lastPrinted>
  <dcterms:created xsi:type="dcterms:W3CDTF">2003-01-15T08:39:07Z</dcterms:created>
  <dcterms:modified xsi:type="dcterms:W3CDTF">2024-03-05T10:53:31Z</dcterms:modified>
</cp:coreProperties>
</file>